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hfc1-my.sharepoint.com/personal/sophie_pen_healthfirst_com/Documents/Desktop/CCAR Order form/"/>
    </mc:Choice>
  </mc:AlternateContent>
  <xr:revisionPtr revIDLastSave="6" documentId="8_{9F202102-3063-4227-8B13-ACB579A93680}" xr6:coauthVersionLast="47" xr6:coauthVersionMax="47" xr10:uidLastSave="{82574A93-8566-4FF9-9BB5-B7CF0174E134}"/>
  <workbookProtection workbookAlgorithmName="SHA-512" workbookHashValue="f9yx3/LQk4CKkF4MIUaWVyLDYFtPrfLT+pCR3Iqp/NpTQ1FXWcb0TnP5LX1Cw1PDeGzvaey+V2z2TDGbxFIRIA==" workbookSaltValue="SBhF01PHbBSrjfh5zDa0UQ==" workbookSpinCount="100000" lockStructure="1"/>
  <bookViews>
    <workbookView xWindow="-28920" yWindow="-120" windowWidth="29040" windowHeight="15720" tabRatio="848" firstSheet="5" activeTab="5" xr2:uid="{00000000-000D-0000-FFFF-FFFF00000000}"/>
  </bookViews>
  <sheets>
    <sheet name="Title Page" sheetId="44" state="hidden" r:id="rId1"/>
    <sheet name="McKesson Quote &amp; Pricing " sheetId="42" state="hidden" r:id="rId2"/>
    <sheet name="McKesson Formulary Calculator" sheetId="41" state="hidden" r:id="rId3"/>
    <sheet name="Tiered Cart Pricing Formulas" sheetId="39" state="hidden" r:id="rId4"/>
    <sheet name="Tiered Pricing Chart" sheetId="40" state="hidden" r:id="rId5"/>
    <sheet name="Quote and Pricing Summary" sheetId="4" r:id="rId6"/>
    <sheet name="Henry Schein Quote &amp; Pricing" sheetId="36" state="hidden" r:id="rId7"/>
    <sheet name="Cart Formulary Calculator" sheetId="30" r:id="rId8"/>
    <sheet name="Standard Cart Pricing Formulas" sheetId="32" state="hidden" r:id="rId9"/>
    <sheet name="Pricing (Drugs) SS" sheetId="43" state="hidden" r:id="rId10"/>
    <sheet name="Price Sheet" sheetId="35" state="hidden" r:id="rId11"/>
    <sheet name="Version and Lists" sheetId="2" state="hidden" r:id="rId12"/>
  </sheets>
  <definedNames>
    <definedName name="_xlnm._FilterDatabase" localSheetId="7" hidden="1">'Cart Formulary Calculator'!$A$11:$I$205</definedName>
    <definedName name="_xlnm._FilterDatabase" localSheetId="2" hidden="1">'McKesson Formulary Calculator'!$A$11:$I$205</definedName>
    <definedName name="_xlnm._FilterDatabase" localSheetId="9" hidden="1">'Pricing (Drugs) SS'!$A$1:$I$200</definedName>
    <definedName name="_xlnm._FilterDatabase" localSheetId="8" hidden="1">'Standard Cart Pricing Formulas'!$A$33:$F$33</definedName>
    <definedName name="_xlnm._FilterDatabase" localSheetId="3" hidden="1">'Tiered Cart Pricing Formulas'!$A$33:$F$168</definedName>
    <definedName name="NEW_FACILITY" localSheetId="7">#REF!</definedName>
    <definedName name="NEW_FACILITY" localSheetId="2">#REF!</definedName>
    <definedName name="NEW_FACILITY" localSheetId="8">#REF!</definedName>
    <definedName name="NEW_FACILITY" localSheetId="3">#REF!</definedName>
    <definedName name="NEW_FACILITY">#REF!</definedName>
    <definedName name="NEW_FACILITY?" localSheetId="7">#REF!</definedName>
    <definedName name="NEW_FACILITY?" localSheetId="2">#REF!</definedName>
    <definedName name="NEW_FACILITY?" localSheetId="8">#REF!</definedName>
    <definedName name="NEW_FACILITY?" localSheetId="3">#REF!</definedName>
    <definedName name="NEW_FACILITY?">#REF!</definedName>
    <definedName name="_xlnm.Print_Area" localSheetId="7">'Cart Formulary Calculator'!$A$1:$F$167</definedName>
    <definedName name="_xlnm.Print_Area" localSheetId="2">'McKesson Formulary Calculator'!$A$1:$F$92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5" i="41" l="1" a="1"/>
  <c r="L205" i="41" s="1"/>
  <c r="M205" i="41"/>
  <c r="A169" i="32"/>
  <c r="I169" i="32"/>
  <c r="K169" i="32" s="1"/>
  <c r="S169" i="32"/>
  <c r="A169" i="39"/>
  <c r="I169" i="39"/>
  <c r="K169" i="39" s="1"/>
  <c r="S169" i="39"/>
  <c r="N205" i="30" a="1"/>
  <c r="N205" i="30" s="1"/>
  <c r="O205" i="30"/>
  <c r="A192" i="43"/>
  <c r="A188" i="43"/>
  <c r="A186" i="43"/>
  <c r="A184" i="43"/>
  <c r="A178" i="43"/>
  <c r="A172" i="43"/>
  <c r="A168" i="43"/>
  <c r="A165" i="43"/>
  <c r="A162" i="43"/>
  <c r="A160" i="43"/>
  <c r="A157" i="43"/>
  <c r="A155" i="43"/>
  <c r="A152" i="43"/>
  <c r="A150" i="43"/>
  <c r="A145" i="43"/>
  <c r="A143" i="43"/>
  <c r="A137" i="43"/>
  <c r="A135" i="43"/>
  <c r="A133" i="43"/>
  <c r="A130" i="43"/>
  <c r="A128" i="43"/>
  <c r="A123" i="43"/>
  <c r="A114" i="43"/>
  <c r="A111" i="43"/>
  <c r="A106" i="43"/>
  <c r="A103" i="43"/>
  <c r="A101" i="43"/>
  <c r="A98" i="43"/>
  <c r="A96" i="43"/>
  <c r="A92" i="43"/>
  <c r="A90" i="43"/>
  <c r="A87" i="43"/>
  <c r="A85" i="43"/>
  <c r="A81" i="43"/>
  <c r="A78" i="43"/>
  <c r="A76" i="43"/>
  <c r="A73" i="43"/>
  <c r="A68" i="43"/>
  <c r="A66" i="43"/>
  <c r="A64" i="43"/>
  <c r="A62" i="43"/>
  <c r="A56" i="43"/>
  <c r="A52" i="43"/>
  <c r="A49" i="43"/>
  <c r="A46" i="43"/>
  <c r="A44" i="43"/>
  <c r="A39" i="43"/>
  <c r="A35" i="43"/>
  <c r="A33" i="43"/>
  <c r="A31" i="43"/>
  <c r="A28" i="43"/>
  <c r="A24" i="43"/>
  <c r="A19" i="43"/>
  <c r="A15" i="43"/>
  <c r="A11" i="43"/>
  <c r="A8" i="43"/>
  <c r="A6" i="43"/>
  <c r="B205" i="41" s="1"/>
  <c r="A2" i="43"/>
  <c r="C205" i="41" s="1"/>
  <c r="P169" i="39" l="1"/>
  <c r="P169" i="32"/>
  <c r="D205" i="30"/>
  <c r="E169" i="39"/>
  <c r="R169" i="39"/>
  <c r="N169" i="39" s="1"/>
  <c r="B169" i="32"/>
  <c r="R169" i="32"/>
  <c r="N169" i="32" s="1"/>
  <c r="G169" i="39"/>
  <c r="H169" i="39" s="1"/>
  <c r="C205" i="30"/>
  <c r="D169" i="39"/>
  <c r="G169" i="32"/>
  <c r="H169" i="32" s="1"/>
  <c r="E205" i="41"/>
  <c r="C169" i="32"/>
  <c r="Q169" i="32"/>
  <c r="M169" i="32" s="1"/>
  <c r="E205" i="30"/>
  <c r="B205" i="30"/>
  <c r="C169" i="39"/>
  <c r="E169" i="32"/>
  <c r="D205" i="41"/>
  <c r="Q169" i="39"/>
  <c r="M169" i="39" s="1"/>
  <c r="B169" i="39"/>
  <c r="D169" i="32"/>
  <c r="N205" i="41"/>
  <c r="P205" i="30"/>
  <c r="L169" i="32"/>
  <c r="L169" i="39"/>
  <c r="A34" i="32"/>
  <c r="A34" i="39"/>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I117" i="32"/>
  <c r="I118" i="32"/>
  <c r="I119" i="32"/>
  <c r="I120" i="32"/>
  <c r="I121" i="32"/>
  <c r="I122" i="32"/>
  <c r="I123" i="32"/>
  <c r="I124" i="32"/>
  <c r="I125" i="32"/>
  <c r="I126" i="32"/>
  <c r="I127" i="32"/>
  <c r="I128" i="32"/>
  <c r="I129" i="32"/>
  <c r="I130" i="32"/>
  <c r="I131" i="32"/>
  <c r="I132" i="32"/>
  <c r="I133" i="32"/>
  <c r="I134" i="32"/>
  <c r="I135" i="32"/>
  <c r="I136" i="32"/>
  <c r="I137" i="32"/>
  <c r="I138" i="32"/>
  <c r="I139" i="32"/>
  <c r="I140" i="32"/>
  <c r="I141" i="32"/>
  <c r="I142" i="32"/>
  <c r="I143" i="32"/>
  <c r="I144" i="32"/>
  <c r="I145" i="32"/>
  <c r="I146" i="32"/>
  <c r="I147" i="32"/>
  <c r="I148" i="32"/>
  <c r="I149" i="32"/>
  <c r="I150" i="32"/>
  <c r="I151" i="32"/>
  <c r="I152" i="32"/>
  <c r="I153" i="32"/>
  <c r="I154" i="32"/>
  <c r="I155" i="32"/>
  <c r="I156" i="32"/>
  <c r="I157" i="32"/>
  <c r="I158" i="32"/>
  <c r="I159" i="32"/>
  <c r="I160" i="32"/>
  <c r="I161" i="32"/>
  <c r="I162" i="32"/>
  <c r="I163" i="32"/>
  <c r="I164" i="32"/>
  <c r="I165" i="32"/>
  <c r="I166" i="32"/>
  <c r="I167" i="32"/>
  <c r="I168" i="32"/>
  <c r="I34" i="32"/>
  <c r="I35" i="39"/>
  <c r="I36" i="39"/>
  <c r="I37" i="39"/>
  <c r="I38" i="39"/>
  <c r="I39" i="39"/>
  <c r="I40" i="39"/>
  <c r="I41" i="39"/>
  <c r="I42" i="39"/>
  <c r="I43" i="39"/>
  <c r="I44" i="39"/>
  <c r="I45" i="39"/>
  <c r="I46" i="39"/>
  <c r="I47" i="39"/>
  <c r="I48" i="39"/>
  <c r="I49" i="39"/>
  <c r="I50" i="39"/>
  <c r="I51" i="39"/>
  <c r="I52" i="39"/>
  <c r="I53" i="39"/>
  <c r="I54" i="39"/>
  <c r="I55" i="39"/>
  <c r="I56" i="39"/>
  <c r="I57" i="39"/>
  <c r="I58" i="39"/>
  <c r="I59" i="39"/>
  <c r="I60" i="39"/>
  <c r="I61" i="39"/>
  <c r="I62" i="39"/>
  <c r="I63" i="39"/>
  <c r="I64" i="39"/>
  <c r="I65" i="39"/>
  <c r="I66" i="39"/>
  <c r="I67" i="39"/>
  <c r="I68" i="39"/>
  <c r="I69" i="39"/>
  <c r="I70" i="39"/>
  <c r="I71" i="39"/>
  <c r="I72" i="39"/>
  <c r="I73" i="39"/>
  <c r="I74" i="39"/>
  <c r="I75" i="39"/>
  <c r="I76" i="39"/>
  <c r="I77" i="39"/>
  <c r="I78" i="39"/>
  <c r="I79" i="39"/>
  <c r="I80" i="39"/>
  <c r="I81" i="39"/>
  <c r="I82" i="39"/>
  <c r="I83" i="39"/>
  <c r="I84" i="39"/>
  <c r="I85" i="39"/>
  <c r="I86" i="39"/>
  <c r="I87" i="39"/>
  <c r="I88" i="39"/>
  <c r="I89" i="39"/>
  <c r="I90" i="39"/>
  <c r="I91" i="39"/>
  <c r="I92" i="39"/>
  <c r="I93" i="39"/>
  <c r="I94" i="39"/>
  <c r="I95" i="39"/>
  <c r="I96" i="39"/>
  <c r="I97" i="39"/>
  <c r="I98" i="39"/>
  <c r="I99" i="39"/>
  <c r="I100" i="39"/>
  <c r="I101" i="39"/>
  <c r="I102" i="39"/>
  <c r="I103" i="39"/>
  <c r="I104" i="39"/>
  <c r="I105" i="39"/>
  <c r="I106" i="39"/>
  <c r="I107" i="39"/>
  <c r="I108" i="39"/>
  <c r="I109" i="39"/>
  <c r="I110" i="39"/>
  <c r="I111" i="39"/>
  <c r="I112" i="39"/>
  <c r="I113" i="39"/>
  <c r="I114" i="39"/>
  <c r="I115" i="39"/>
  <c r="I116" i="39"/>
  <c r="I117" i="39"/>
  <c r="I118" i="39"/>
  <c r="I119" i="39"/>
  <c r="I120" i="39"/>
  <c r="I121" i="39"/>
  <c r="I122" i="39"/>
  <c r="I123" i="39"/>
  <c r="I124" i="39"/>
  <c r="I125" i="39"/>
  <c r="I126" i="39"/>
  <c r="I127" i="39"/>
  <c r="I128" i="39"/>
  <c r="I129" i="39"/>
  <c r="I130" i="39"/>
  <c r="I131" i="39"/>
  <c r="I132" i="39"/>
  <c r="I133" i="39"/>
  <c r="I134" i="39"/>
  <c r="I135" i="39"/>
  <c r="I136" i="39"/>
  <c r="I137" i="39"/>
  <c r="I138" i="39"/>
  <c r="I139" i="39"/>
  <c r="I140" i="39"/>
  <c r="I141" i="39"/>
  <c r="I142" i="39"/>
  <c r="I143" i="39"/>
  <c r="I144" i="39"/>
  <c r="I145" i="39"/>
  <c r="I146" i="39"/>
  <c r="I147" i="39"/>
  <c r="I148" i="39"/>
  <c r="I149" i="39"/>
  <c r="I150" i="39"/>
  <c r="I151" i="39"/>
  <c r="I152" i="39"/>
  <c r="I153" i="39"/>
  <c r="I154" i="39"/>
  <c r="I155" i="39"/>
  <c r="I156" i="39"/>
  <c r="I157" i="39"/>
  <c r="I158" i="39"/>
  <c r="I159" i="39"/>
  <c r="I160" i="39"/>
  <c r="I161" i="39"/>
  <c r="I162" i="39"/>
  <c r="I163" i="39"/>
  <c r="I164" i="39"/>
  <c r="I165" i="39"/>
  <c r="I166" i="39"/>
  <c r="I167" i="39"/>
  <c r="I168" i="39"/>
  <c r="I34" i="39"/>
  <c r="O169" i="39" l="1"/>
  <c r="O169" i="32"/>
  <c r="K23" i="32"/>
  <c r="J23" i="39"/>
  <c r="D45" i="4"/>
  <c r="G44" i="39" l="1"/>
  <c r="N13" i="30" a="1"/>
  <c r="N13" i="30" s="1"/>
  <c r="O13" i="30"/>
  <c r="N14" i="30" a="1"/>
  <c r="N14" i="30" s="1"/>
  <c r="O14" i="30"/>
  <c r="N15" i="30" a="1"/>
  <c r="N15" i="30" s="1"/>
  <c r="O15" i="30"/>
  <c r="N16" i="30" a="1"/>
  <c r="N16" i="30" s="1"/>
  <c r="O16" i="30"/>
  <c r="N17" i="30" a="1"/>
  <c r="N17" i="30" s="1"/>
  <c r="N18" i="30" a="1"/>
  <c r="N18" i="30" s="1"/>
  <c r="O18" i="30"/>
  <c r="N19" i="30" a="1"/>
  <c r="N19" i="30" s="1"/>
  <c r="N20" i="30" a="1"/>
  <c r="N20" i="30" s="1"/>
  <c r="O20" i="30"/>
  <c r="N21" i="30" a="1"/>
  <c r="N21" i="30" s="1"/>
  <c r="O21" i="30"/>
  <c r="N22" i="30" a="1"/>
  <c r="N22" i="30" s="1"/>
  <c r="N23" i="30" a="1"/>
  <c r="N23" i="30" s="1"/>
  <c r="O23" i="30"/>
  <c r="N24" i="30" a="1"/>
  <c r="N24" i="30" s="1"/>
  <c r="O24" i="30"/>
  <c r="N25" i="30" a="1"/>
  <c r="N25" i="30" s="1"/>
  <c r="O25" i="30"/>
  <c r="N26" i="30" a="1"/>
  <c r="N26" i="30" s="1"/>
  <c r="O26" i="30"/>
  <c r="N27" i="30" a="1"/>
  <c r="N27" i="30" s="1"/>
  <c r="N28" i="30" a="1"/>
  <c r="N28" i="30" s="1"/>
  <c r="O28" i="30"/>
  <c r="N29" i="30" a="1"/>
  <c r="N29" i="30" s="1"/>
  <c r="O29" i="30"/>
  <c r="N30" i="30" a="1"/>
  <c r="N30" i="30" s="1"/>
  <c r="O30" i="30"/>
  <c r="N31" i="30" a="1"/>
  <c r="N31" i="30" s="1"/>
  <c r="N32" i="30" a="1"/>
  <c r="N32" i="30" s="1"/>
  <c r="O32" i="30"/>
  <c r="N33" i="30" a="1"/>
  <c r="N33" i="30" s="1"/>
  <c r="O33" i="30"/>
  <c r="N34" i="30" a="1"/>
  <c r="N34" i="30" s="1"/>
  <c r="O34" i="30"/>
  <c r="N35" i="30" a="1"/>
  <c r="N35" i="30" s="1"/>
  <c r="O35" i="30"/>
  <c r="N36" i="30" a="1"/>
  <c r="N36" i="30" s="1"/>
  <c r="O36" i="30"/>
  <c r="N37" i="30" a="1"/>
  <c r="N37" i="30" s="1"/>
  <c r="N38" i="30" a="1"/>
  <c r="N38" i="30" s="1"/>
  <c r="O38" i="30"/>
  <c r="N39" i="30" a="1"/>
  <c r="N39" i="30" s="1"/>
  <c r="O39" i="30"/>
  <c r="N40" i="30" a="1"/>
  <c r="N40" i="30" s="1"/>
  <c r="O40" i="30"/>
  <c r="N41" i="30" a="1"/>
  <c r="N41" i="30" s="1"/>
  <c r="N42" i="30" a="1"/>
  <c r="N42" i="30" s="1"/>
  <c r="O42" i="30"/>
  <c r="N43" i="30" a="1"/>
  <c r="N43" i="30" s="1"/>
  <c r="O43" i="30"/>
  <c r="N44" i="30" a="1"/>
  <c r="N44" i="30" s="1"/>
  <c r="O44" i="30"/>
  <c r="N45" i="30" a="1"/>
  <c r="N45" i="30" s="1"/>
  <c r="N46" i="30" a="1"/>
  <c r="N46" i="30" s="1"/>
  <c r="O46" i="30"/>
  <c r="N47" i="30" a="1"/>
  <c r="N47" i="30" s="1"/>
  <c r="N48" i="30" a="1"/>
  <c r="N48" i="30" s="1"/>
  <c r="O48" i="30"/>
  <c r="N49" i="30" a="1"/>
  <c r="N49" i="30" s="1"/>
  <c r="N50" i="30" a="1"/>
  <c r="N50" i="30" s="1"/>
  <c r="O50" i="30"/>
  <c r="N51" i="30" a="1"/>
  <c r="N51" i="30" s="1"/>
  <c r="O51" i="30"/>
  <c r="N52" i="30" a="1"/>
  <c r="N52" i="30" s="1"/>
  <c r="O52" i="30"/>
  <c r="N53" i="30" a="1"/>
  <c r="N53" i="30" s="1"/>
  <c r="N54" i="30" a="1"/>
  <c r="N54" i="30" s="1"/>
  <c r="O54" i="30"/>
  <c r="N55" i="30" a="1"/>
  <c r="N55" i="30" s="1"/>
  <c r="O55" i="30"/>
  <c r="N56" i="30" a="1"/>
  <c r="N56" i="30" s="1"/>
  <c r="O56" i="30"/>
  <c r="N57" i="30" a="1"/>
  <c r="N57" i="30" s="1"/>
  <c r="O57" i="30"/>
  <c r="N58" i="30" a="1"/>
  <c r="N58" i="30" s="1"/>
  <c r="O58" i="30"/>
  <c r="N59" i="30" a="1"/>
  <c r="N59" i="30" s="1"/>
  <c r="O59" i="30"/>
  <c r="N60" i="30" a="1"/>
  <c r="N60" i="30" s="1"/>
  <c r="N61" i="30" a="1"/>
  <c r="N61" i="30" s="1"/>
  <c r="O61" i="30"/>
  <c r="N62" i="30" a="1"/>
  <c r="N62" i="30" s="1"/>
  <c r="N63" i="30" a="1"/>
  <c r="N63" i="30" s="1"/>
  <c r="O63" i="30"/>
  <c r="N64" i="30" a="1"/>
  <c r="N64" i="30" s="1"/>
  <c r="O64" i="30"/>
  <c r="N65" i="30" a="1"/>
  <c r="N65" i="30" s="1"/>
  <c r="N66" i="30" a="1"/>
  <c r="N66" i="30" s="1"/>
  <c r="O66" i="30"/>
  <c r="N67" i="30" a="1"/>
  <c r="N67" i="30" s="1"/>
  <c r="O67" i="30"/>
  <c r="N68" i="30" a="1"/>
  <c r="N68" i="30" s="1"/>
  <c r="N69" i="30" a="1"/>
  <c r="N69" i="30" s="1"/>
  <c r="O69" i="30"/>
  <c r="N70" i="30" a="1"/>
  <c r="N70" i="30" s="1"/>
  <c r="O70" i="30"/>
  <c r="N71" i="30" a="1"/>
  <c r="N71" i="30" s="1"/>
  <c r="O71" i="30"/>
  <c r="N72" i="30" a="1"/>
  <c r="N72" i="30" s="1"/>
  <c r="N73" i="30" a="1"/>
  <c r="N73" i="30" s="1"/>
  <c r="O73" i="30"/>
  <c r="N74" i="30" a="1"/>
  <c r="N74" i="30" s="1"/>
  <c r="O74" i="30"/>
  <c r="N75" i="30" a="1"/>
  <c r="N75" i="30" s="1"/>
  <c r="O75" i="30"/>
  <c r="N76" i="30" a="1"/>
  <c r="N76" i="30" s="1"/>
  <c r="O76" i="30"/>
  <c r="N77" i="30" a="1"/>
  <c r="N77" i="30" s="1"/>
  <c r="O77" i="30"/>
  <c r="N78" i="30" a="1"/>
  <c r="N78" i="30" s="1"/>
  <c r="N79" i="30" a="1"/>
  <c r="N79" i="30" s="1"/>
  <c r="O79" i="30"/>
  <c r="N80" i="30" a="1"/>
  <c r="N80" i="30" s="1"/>
  <c r="N81" i="30" a="1"/>
  <c r="N81" i="30" s="1"/>
  <c r="O81" i="30"/>
  <c r="N82" i="30" a="1"/>
  <c r="N82" i="30" s="1"/>
  <c r="N83" i="30" a="1"/>
  <c r="N83" i="30" s="1"/>
  <c r="O83" i="30"/>
  <c r="N84" i="30" a="1"/>
  <c r="N84" i="30" s="1"/>
  <c r="N85" i="30" a="1"/>
  <c r="N85" i="30" s="1"/>
  <c r="O85" i="30"/>
  <c r="N86" i="30" a="1"/>
  <c r="N86" i="30" s="1"/>
  <c r="O86" i="30"/>
  <c r="N87" i="30" a="1"/>
  <c r="N87" i="30" s="1"/>
  <c r="O87" i="30"/>
  <c r="N88" i="30" a="1"/>
  <c r="N88" i="30" s="1"/>
  <c r="O88" i="30"/>
  <c r="N89" i="30" a="1"/>
  <c r="N89" i="30" s="1"/>
  <c r="O89" i="30"/>
  <c r="N90" i="30" a="1"/>
  <c r="N90" i="30" s="1"/>
  <c r="O90" i="30"/>
  <c r="N91" i="30" a="1"/>
  <c r="N91" i="30" s="1"/>
  <c r="N92" i="30" a="1"/>
  <c r="N92" i="30" s="1"/>
  <c r="O92" i="30"/>
  <c r="N93" i="30" a="1"/>
  <c r="N93" i="30" s="1"/>
  <c r="O93" i="30"/>
  <c r="N94" i="30" a="1"/>
  <c r="N94" i="30" s="1"/>
  <c r="N95" i="30" a="1"/>
  <c r="N95" i="30" s="1"/>
  <c r="O95" i="30"/>
  <c r="N96" i="30" a="1"/>
  <c r="N96" i="30" s="1"/>
  <c r="N97" i="30" a="1"/>
  <c r="N97" i="30" s="1"/>
  <c r="O97" i="30"/>
  <c r="N98" i="30" a="1"/>
  <c r="N98" i="30" s="1"/>
  <c r="O98" i="30"/>
  <c r="N99" i="30" a="1"/>
  <c r="N99" i="30" s="1"/>
  <c r="N100" i="30" a="1"/>
  <c r="N100" i="30" s="1"/>
  <c r="O100" i="30"/>
  <c r="N101" i="30" a="1"/>
  <c r="N101" i="30" s="1"/>
  <c r="O101" i="30"/>
  <c r="N102" i="30" a="1"/>
  <c r="N102" i="30" s="1"/>
  <c r="O102" i="30"/>
  <c r="N103" i="30" a="1"/>
  <c r="N103" i="30" s="1"/>
  <c r="N104" i="30" a="1"/>
  <c r="N104" i="30" s="1"/>
  <c r="O104" i="30"/>
  <c r="N105" i="30" a="1"/>
  <c r="N105" i="30" s="1"/>
  <c r="N106" i="30" a="1"/>
  <c r="N106" i="30" s="1"/>
  <c r="O106" i="30"/>
  <c r="N107" i="30" a="1"/>
  <c r="N107" i="30" s="1"/>
  <c r="O107" i="30"/>
  <c r="N108" i="30" a="1"/>
  <c r="N108" i="30" s="1"/>
  <c r="N109" i="30" a="1"/>
  <c r="N109" i="30" s="1"/>
  <c r="O109" i="30"/>
  <c r="N110" i="30" a="1"/>
  <c r="N110" i="30" s="1"/>
  <c r="N111" i="30" a="1"/>
  <c r="N111" i="30" s="1"/>
  <c r="O111" i="30"/>
  <c r="N112" i="30" a="1"/>
  <c r="N112" i="30" s="1"/>
  <c r="O112" i="30"/>
  <c r="N113" i="30" a="1"/>
  <c r="N113" i="30" s="1"/>
  <c r="O113" i="30"/>
  <c r="N114" i="30" a="1"/>
  <c r="N114" i="30" s="1"/>
  <c r="N115" i="30" a="1"/>
  <c r="N115" i="30" s="1"/>
  <c r="O115" i="30"/>
  <c r="N116" i="30" a="1"/>
  <c r="N116" i="30" s="1"/>
  <c r="N117" i="30" a="1"/>
  <c r="N117" i="30" s="1"/>
  <c r="O117" i="30"/>
  <c r="N118" i="30" a="1"/>
  <c r="N118" i="30" s="1"/>
  <c r="O118" i="30"/>
  <c r="N119" i="30" a="1"/>
  <c r="N119" i="30" s="1"/>
  <c r="N120" i="30" a="1"/>
  <c r="N120" i="30" s="1"/>
  <c r="O120" i="30"/>
  <c r="N121" i="30" a="1"/>
  <c r="N121" i="30" s="1"/>
  <c r="N122" i="30" a="1"/>
  <c r="N122" i="30" s="1"/>
  <c r="O122" i="30"/>
  <c r="N123" i="30" a="1"/>
  <c r="N123" i="30" s="1"/>
  <c r="O123" i="30"/>
  <c r="N124" i="30" a="1"/>
  <c r="N124" i="30" s="1"/>
  <c r="N125" i="30" a="1"/>
  <c r="N125" i="30" s="1"/>
  <c r="O125" i="30"/>
  <c r="N126" i="30" a="1"/>
  <c r="N126" i="30" s="1"/>
  <c r="O126" i="30"/>
  <c r="N127" i="30" a="1"/>
  <c r="N127" i="30" s="1"/>
  <c r="O127" i="30"/>
  <c r="N128" i="30" a="1"/>
  <c r="N128" i="30" s="1"/>
  <c r="O128" i="30"/>
  <c r="N129" i="30" a="1"/>
  <c r="N129" i="30" s="1"/>
  <c r="O129" i="30"/>
  <c r="N130" i="30" a="1"/>
  <c r="N130" i="30" s="1"/>
  <c r="N131" i="30" a="1"/>
  <c r="N131" i="30" s="1"/>
  <c r="O131" i="30"/>
  <c r="N132" i="30" a="1"/>
  <c r="N132" i="30" s="1"/>
  <c r="O132" i="30"/>
  <c r="N133" i="30" a="1"/>
  <c r="N133" i="30" s="1"/>
  <c r="N134" i="30" a="1"/>
  <c r="N134" i="30" s="1"/>
  <c r="O134" i="30"/>
  <c r="N135" i="30" a="1"/>
  <c r="N135" i="30" s="1"/>
  <c r="O135" i="30"/>
  <c r="N136" i="30" a="1"/>
  <c r="N136" i="30" s="1"/>
  <c r="O136" i="30"/>
  <c r="N137" i="30" a="1"/>
  <c r="N137" i="30" s="1"/>
  <c r="O137" i="30"/>
  <c r="N138" i="30" a="1"/>
  <c r="N138" i="30" s="1"/>
  <c r="O138" i="30"/>
  <c r="N139" i="30" a="1"/>
  <c r="N139" i="30" s="1"/>
  <c r="O139" i="30"/>
  <c r="N140" i="30" a="1"/>
  <c r="N140" i="30" s="1"/>
  <c r="O140" i="30"/>
  <c r="N141" i="30" a="1"/>
  <c r="N141" i="30" s="1"/>
  <c r="O141" i="30"/>
  <c r="N142" i="30" a="1"/>
  <c r="N142" i="30" s="1"/>
  <c r="O142" i="30"/>
  <c r="N143" i="30" a="1"/>
  <c r="N143" i="30" s="1"/>
  <c r="O143" i="30"/>
  <c r="N144" i="30" a="1"/>
  <c r="N144" i="30" s="1"/>
  <c r="O144" i="30"/>
  <c r="N145" i="30" a="1"/>
  <c r="N145" i="30" s="1"/>
  <c r="O145" i="30"/>
  <c r="N146" i="30" a="1"/>
  <c r="N146" i="30" s="1"/>
  <c r="O146" i="30"/>
  <c r="N147" i="30" a="1"/>
  <c r="N147" i="30" s="1"/>
  <c r="O147" i="30"/>
  <c r="N148" i="30" a="1"/>
  <c r="N148" i="30" s="1"/>
  <c r="O148" i="30"/>
  <c r="N149" i="30" a="1"/>
  <c r="N149" i="30" s="1"/>
  <c r="O149" i="30"/>
  <c r="N150" i="30" a="1"/>
  <c r="N150" i="30" s="1"/>
  <c r="O150" i="30"/>
  <c r="N151" i="30" a="1"/>
  <c r="N151" i="30" s="1"/>
  <c r="O151" i="30"/>
  <c r="N152" i="30" a="1"/>
  <c r="N152" i="30" s="1"/>
  <c r="O152" i="30"/>
  <c r="N153" i="30" a="1"/>
  <c r="N153" i="30" s="1"/>
  <c r="O153" i="30"/>
  <c r="N154" i="30" a="1"/>
  <c r="N154" i="30" s="1"/>
  <c r="N155" i="30" a="1"/>
  <c r="N155" i="30" s="1"/>
  <c r="O155" i="30"/>
  <c r="N156" i="30" a="1"/>
  <c r="N156" i="30" s="1"/>
  <c r="O156" i="30"/>
  <c r="N157" i="30" a="1"/>
  <c r="N157" i="30" s="1"/>
  <c r="O157" i="30"/>
  <c r="N158" i="30" a="1"/>
  <c r="N158" i="30" s="1"/>
  <c r="O158" i="30"/>
  <c r="N159" i="30" a="1"/>
  <c r="N159" i="30" s="1"/>
  <c r="N160" i="30" a="1"/>
  <c r="N160" i="30" s="1"/>
  <c r="O160" i="30"/>
  <c r="N161" i="30" a="1"/>
  <c r="N161" i="30" s="1"/>
  <c r="N162" i="30" a="1"/>
  <c r="N162" i="30" s="1"/>
  <c r="O162" i="30"/>
  <c r="N163" i="30" a="1"/>
  <c r="N163" i="30" s="1"/>
  <c r="O163" i="30"/>
  <c r="N164" i="30" a="1"/>
  <c r="N164" i="30" s="1"/>
  <c r="N165" i="30" a="1"/>
  <c r="N165" i="30" s="1"/>
  <c r="O165" i="30"/>
  <c r="N166" i="30" a="1"/>
  <c r="N166" i="30" s="1"/>
  <c r="N167" i="30" a="1"/>
  <c r="N167" i="30" s="1"/>
  <c r="O167" i="30"/>
  <c r="N168" i="30" a="1"/>
  <c r="N168" i="30" s="1"/>
  <c r="N169" i="30" a="1"/>
  <c r="N169" i="30" s="1"/>
  <c r="O169" i="30"/>
  <c r="N170" i="30" a="1"/>
  <c r="N170" i="30" s="1"/>
  <c r="O170" i="30"/>
  <c r="N171" i="30" a="1"/>
  <c r="N171" i="30" s="1"/>
  <c r="O171" i="30"/>
  <c r="N172" i="30" a="1"/>
  <c r="N172" i="30" s="1"/>
  <c r="O172" i="30"/>
  <c r="N173" i="30" a="1"/>
  <c r="N173" i="30" s="1"/>
  <c r="O173" i="30"/>
  <c r="N174" i="30" a="1"/>
  <c r="N174" i="30" s="1"/>
  <c r="O174" i="30"/>
  <c r="N175" i="30" a="1"/>
  <c r="N175" i="30" s="1"/>
  <c r="N176" i="30" a="1"/>
  <c r="N176" i="30" s="1"/>
  <c r="O176" i="30"/>
  <c r="N177" i="30" a="1"/>
  <c r="N177" i="30" s="1"/>
  <c r="N178" i="30" a="1"/>
  <c r="N178" i="30" s="1"/>
  <c r="O178" i="30"/>
  <c r="N179" i="30" a="1"/>
  <c r="N179" i="30" s="1"/>
  <c r="O179" i="30"/>
  <c r="N180" i="30" a="1"/>
  <c r="N180" i="30" s="1"/>
  <c r="O180" i="30"/>
  <c r="N181" i="30" a="1"/>
  <c r="N181" i="30" s="1"/>
  <c r="N182" i="30" a="1"/>
  <c r="N182" i="30" s="1"/>
  <c r="O182" i="30"/>
  <c r="N183" i="30" a="1"/>
  <c r="N183" i="30" s="1"/>
  <c r="N184" i="30" a="1"/>
  <c r="N184" i="30" s="1"/>
  <c r="O184" i="30"/>
  <c r="N185" i="30" a="1"/>
  <c r="N185" i="30" s="1"/>
  <c r="O185" i="30"/>
  <c r="N186" i="30" a="1"/>
  <c r="N186" i="30" s="1"/>
  <c r="N187" i="30" a="1"/>
  <c r="N187" i="30" s="1"/>
  <c r="O187" i="30"/>
  <c r="N188" i="30" a="1"/>
  <c r="N188" i="30" s="1"/>
  <c r="N189" i="30" a="1"/>
  <c r="N189" i="30" s="1"/>
  <c r="O189" i="30"/>
  <c r="N190" i="30" a="1"/>
  <c r="N190" i="30" s="1"/>
  <c r="O190" i="30"/>
  <c r="N191" i="30" a="1"/>
  <c r="N191" i="30" s="1"/>
  <c r="N192" i="30" a="1"/>
  <c r="N192" i="30" s="1"/>
  <c r="O192" i="30"/>
  <c r="N193" i="30" a="1"/>
  <c r="N193" i="30" s="1"/>
  <c r="N194" i="30" a="1"/>
  <c r="N194" i="30" s="1"/>
  <c r="O194" i="30"/>
  <c r="N195" i="30" a="1"/>
  <c r="N195" i="30" s="1"/>
  <c r="O195" i="30"/>
  <c r="N196" i="30" a="1"/>
  <c r="N196" i="30" s="1"/>
  <c r="N197" i="30" a="1"/>
  <c r="N197" i="30" s="1"/>
  <c r="O197" i="30"/>
  <c r="N198" i="30" a="1"/>
  <c r="N198" i="30" s="1"/>
  <c r="O198" i="30"/>
  <c r="N199" i="30" a="1"/>
  <c r="N199" i="30" s="1"/>
  <c r="N200" i="30" a="1"/>
  <c r="N200" i="30" s="1"/>
  <c r="O200" i="30"/>
  <c r="N201" i="30" a="1"/>
  <c r="N201" i="30" s="1"/>
  <c r="O201" i="30"/>
  <c r="N202" i="30" a="1"/>
  <c r="N202" i="30" s="1"/>
  <c r="O202" i="30"/>
  <c r="N203" i="30" a="1"/>
  <c r="N203" i="30" s="1"/>
  <c r="O203" i="30"/>
  <c r="N204" i="30" a="1"/>
  <c r="N204" i="30" s="1"/>
  <c r="N12" i="30" a="1"/>
  <c r="N12" i="30" s="1"/>
  <c r="L22" i="39"/>
  <c r="M22" i="32"/>
  <c r="K23" i="39" l="1"/>
  <c r="S36" i="32"/>
  <c r="G48" i="32"/>
  <c r="G36" i="32"/>
  <c r="G34" i="32"/>
  <c r="G165" i="32"/>
  <c r="G153" i="32"/>
  <c r="G141" i="32"/>
  <c r="G129" i="32"/>
  <c r="G117" i="32"/>
  <c r="G105" i="32"/>
  <c r="G93" i="32"/>
  <c r="G81" i="32"/>
  <c r="G69" i="32"/>
  <c r="G57" i="32"/>
  <c r="G45" i="32"/>
  <c r="G34" i="39"/>
  <c r="G165" i="39"/>
  <c r="G153" i="39"/>
  <c r="G141" i="39"/>
  <c r="G129" i="39"/>
  <c r="G117" i="39"/>
  <c r="G105" i="39"/>
  <c r="G93" i="39"/>
  <c r="G81" i="39"/>
  <c r="G69" i="39"/>
  <c r="G57" i="39"/>
  <c r="G45" i="39"/>
  <c r="G164" i="32"/>
  <c r="G152" i="32"/>
  <c r="G140" i="32"/>
  <c r="G128" i="32"/>
  <c r="G116" i="32"/>
  <c r="G104" i="32"/>
  <c r="G92" i="32"/>
  <c r="G80" i="32"/>
  <c r="G68" i="32"/>
  <c r="G56" i="32"/>
  <c r="G44" i="32"/>
  <c r="G164" i="39"/>
  <c r="G152" i="39"/>
  <c r="G140" i="39"/>
  <c r="G128" i="39"/>
  <c r="G116" i="39"/>
  <c r="G104" i="39"/>
  <c r="G92" i="39"/>
  <c r="G80" i="39"/>
  <c r="G68" i="39"/>
  <c r="G56" i="39"/>
  <c r="G163" i="32"/>
  <c r="G151" i="32"/>
  <c r="G139" i="32"/>
  <c r="G127" i="32"/>
  <c r="G115" i="32"/>
  <c r="G103" i="32"/>
  <c r="G91" i="32"/>
  <c r="G79" i="32"/>
  <c r="G67" i="32"/>
  <c r="G55" i="32"/>
  <c r="G43" i="32"/>
  <c r="G163" i="39"/>
  <c r="G151" i="39"/>
  <c r="G139" i="39"/>
  <c r="G127" i="39"/>
  <c r="G115" i="39"/>
  <c r="G103" i="39"/>
  <c r="G91" i="39"/>
  <c r="G79" i="39"/>
  <c r="G67" i="39"/>
  <c r="G55" i="39"/>
  <c r="G43" i="39"/>
  <c r="G162" i="32"/>
  <c r="G150" i="32"/>
  <c r="G138" i="32"/>
  <c r="G126" i="32"/>
  <c r="G114" i="32"/>
  <c r="G102" i="32"/>
  <c r="G90" i="32"/>
  <c r="G78" i="32"/>
  <c r="G66" i="32"/>
  <c r="G54" i="32"/>
  <c r="G42" i="32"/>
  <c r="G162" i="39"/>
  <c r="G150" i="39"/>
  <c r="G138" i="39"/>
  <c r="G126" i="39"/>
  <c r="G114" i="39"/>
  <c r="G102" i="39"/>
  <c r="G90" i="39"/>
  <c r="G78" i="39"/>
  <c r="G66" i="39"/>
  <c r="G54" i="39"/>
  <c r="G42" i="39"/>
  <c r="G161" i="32"/>
  <c r="G149" i="32"/>
  <c r="G137" i="32"/>
  <c r="G125" i="32"/>
  <c r="G113" i="32"/>
  <c r="G101" i="32"/>
  <c r="G89" i="32"/>
  <c r="G77" i="32"/>
  <c r="G65" i="32"/>
  <c r="G53" i="32"/>
  <c r="G41" i="32"/>
  <c r="G161" i="39"/>
  <c r="G149" i="39"/>
  <c r="G137" i="39"/>
  <c r="G125" i="39"/>
  <c r="G113" i="39"/>
  <c r="G101" i="39"/>
  <c r="G89" i="39"/>
  <c r="G77" i="39"/>
  <c r="G65" i="39"/>
  <c r="G53" i="39"/>
  <c r="G41" i="39"/>
  <c r="G160" i="32"/>
  <c r="G148" i="32"/>
  <c r="G136" i="32"/>
  <c r="G124" i="32"/>
  <c r="G112" i="32"/>
  <c r="G100" i="32"/>
  <c r="G88" i="32"/>
  <c r="G76" i="32"/>
  <c r="G64" i="32"/>
  <c r="G52" i="32"/>
  <c r="G40" i="32"/>
  <c r="G160" i="39"/>
  <c r="G148" i="39"/>
  <c r="G136" i="39"/>
  <c r="G124" i="39"/>
  <c r="G112" i="39"/>
  <c r="G100" i="39"/>
  <c r="G88" i="39"/>
  <c r="G76" i="39"/>
  <c r="G64" i="39"/>
  <c r="G52" i="39"/>
  <c r="G40" i="39"/>
  <c r="G159" i="32"/>
  <c r="G147" i="32"/>
  <c r="G135" i="32"/>
  <c r="G123" i="32"/>
  <c r="G111" i="32"/>
  <c r="G99" i="32"/>
  <c r="G87" i="32"/>
  <c r="G75" i="32"/>
  <c r="G63" i="32"/>
  <c r="G51" i="32"/>
  <c r="G39" i="32"/>
  <c r="G159" i="39"/>
  <c r="G147" i="39"/>
  <c r="G135" i="39"/>
  <c r="G123" i="39"/>
  <c r="G111" i="39"/>
  <c r="G99" i="39"/>
  <c r="G87" i="39"/>
  <c r="G75" i="39"/>
  <c r="G63" i="39"/>
  <c r="G51" i="39"/>
  <c r="G39" i="39"/>
  <c r="G158" i="32"/>
  <c r="G146" i="32"/>
  <c r="G134" i="32"/>
  <c r="G122" i="32"/>
  <c r="G110" i="32"/>
  <c r="G98" i="32"/>
  <c r="G86" i="32"/>
  <c r="G74" i="32"/>
  <c r="G62" i="32"/>
  <c r="G50" i="32"/>
  <c r="G38" i="32"/>
  <c r="G158" i="39"/>
  <c r="G146" i="39"/>
  <c r="G134" i="39"/>
  <c r="G122" i="39"/>
  <c r="G110" i="39"/>
  <c r="G98" i="39"/>
  <c r="G86" i="39"/>
  <c r="G74" i="39"/>
  <c r="G62" i="39"/>
  <c r="G50" i="39"/>
  <c r="G38" i="39"/>
  <c r="G157" i="32"/>
  <c r="G145" i="32"/>
  <c r="G133" i="32"/>
  <c r="G121" i="32"/>
  <c r="G109" i="32"/>
  <c r="G97" i="32"/>
  <c r="G85" i="32"/>
  <c r="G73" i="32"/>
  <c r="G61" i="32"/>
  <c r="G49" i="32"/>
  <c r="G37" i="32"/>
  <c r="G157" i="39"/>
  <c r="G145" i="39"/>
  <c r="G133" i="39"/>
  <c r="G121" i="39"/>
  <c r="G109" i="39"/>
  <c r="G97" i="39"/>
  <c r="G85" i="39"/>
  <c r="G73" i="39"/>
  <c r="G61" i="39"/>
  <c r="G49" i="39"/>
  <c r="G37" i="39"/>
  <c r="G168" i="32"/>
  <c r="G156" i="32"/>
  <c r="G144" i="32"/>
  <c r="G132" i="32"/>
  <c r="G120" i="32"/>
  <c r="G108" i="32"/>
  <c r="G96" i="32"/>
  <c r="G84" i="32"/>
  <c r="G72" i="32"/>
  <c r="G60" i="32"/>
  <c r="G168" i="39"/>
  <c r="G156" i="39"/>
  <c r="G144" i="39"/>
  <c r="G132" i="39"/>
  <c r="G120" i="39"/>
  <c r="G108" i="39"/>
  <c r="G96" i="39"/>
  <c r="G84" i="39"/>
  <c r="G72" i="39"/>
  <c r="G60" i="39"/>
  <c r="G48" i="39"/>
  <c r="G36" i="39"/>
  <c r="G167" i="32"/>
  <c r="G155" i="32"/>
  <c r="G143" i="32"/>
  <c r="G131" i="32"/>
  <c r="G119" i="32"/>
  <c r="G107" i="32"/>
  <c r="G95" i="32"/>
  <c r="G83" i="32"/>
  <c r="G71" i="32"/>
  <c r="G59" i="32"/>
  <c r="G47" i="32"/>
  <c r="G35" i="32"/>
  <c r="G167" i="39"/>
  <c r="G155" i="39"/>
  <c r="G143" i="39"/>
  <c r="G131" i="39"/>
  <c r="G119" i="39"/>
  <c r="G107" i="39"/>
  <c r="G95" i="39"/>
  <c r="G83" i="39"/>
  <c r="G71" i="39"/>
  <c r="G59" i="39"/>
  <c r="G47" i="39"/>
  <c r="G35" i="39"/>
  <c r="G166" i="32"/>
  <c r="G154" i="32"/>
  <c r="G142" i="32"/>
  <c r="G130" i="32"/>
  <c r="G118" i="32"/>
  <c r="G106" i="32"/>
  <c r="G94" i="32"/>
  <c r="G82" i="32"/>
  <c r="G70" i="32"/>
  <c r="G58" i="32"/>
  <c r="G46" i="32"/>
  <c r="G166" i="39"/>
  <c r="G154" i="39"/>
  <c r="G142" i="39"/>
  <c r="G130" i="39"/>
  <c r="G118" i="39"/>
  <c r="G106" i="39"/>
  <c r="G94" i="39"/>
  <c r="G82" i="39"/>
  <c r="G70" i="39"/>
  <c r="G58" i="39"/>
  <c r="G46" i="39"/>
  <c r="P162" i="30"/>
  <c r="P167" i="30"/>
  <c r="P198" i="30"/>
  <c r="P174" i="30"/>
  <c r="P173" i="30"/>
  <c r="P203" i="30"/>
  <c r="P179" i="30"/>
  <c r="P149" i="30"/>
  <c r="P192" i="30"/>
  <c r="P156" i="30"/>
  <c r="P185" i="30"/>
  <c r="P143" i="30"/>
  <c r="P180" i="30"/>
  <c r="P150" i="30"/>
  <c r="P197" i="30"/>
  <c r="P201" i="30"/>
  <c r="P189" i="30"/>
  <c r="P195" i="30"/>
  <c r="P163" i="30"/>
  <c r="P73" i="30"/>
  <c r="P109" i="30"/>
  <c r="P151" i="30"/>
  <c r="P61" i="30"/>
  <c r="P144" i="30"/>
  <c r="P138" i="30"/>
  <c r="P132" i="30"/>
  <c r="P126" i="30"/>
  <c r="P66" i="30"/>
  <c r="P54" i="30"/>
  <c r="P48" i="30"/>
  <c r="P42" i="30"/>
  <c r="P36" i="30"/>
  <c r="P169" i="30"/>
  <c r="P85" i="30"/>
  <c r="P13" i="30"/>
  <c r="P157" i="30"/>
  <c r="P97" i="30"/>
  <c r="P25" i="30"/>
  <c r="P115" i="30"/>
  <c r="P67" i="30"/>
  <c r="R157" i="32"/>
  <c r="N157" i="32" s="1"/>
  <c r="R43" i="32"/>
  <c r="N43" i="32" s="1"/>
  <c r="R50" i="32"/>
  <c r="N50" i="32" s="1"/>
  <c r="P86" i="32"/>
  <c r="R44" i="32"/>
  <c r="N44" i="32" s="1"/>
  <c r="R56" i="32"/>
  <c r="N56" i="32" s="1"/>
  <c r="R55" i="32"/>
  <c r="N55" i="32" s="1"/>
  <c r="P50" i="32"/>
  <c r="P44" i="32"/>
  <c r="P38" i="32"/>
  <c r="P178" i="30"/>
  <c r="P102" i="30"/>
  <c r="P90" i="30"/>
  <c r="P148" i="30"/>
  <c r="P136" i="30"/>
  <c r="P118" i="30"/>
  <c r="P88" i="30"/>
  <c r="P70" i="30"/>
  <c r="P64" i="30"/>
  <c r="P58" i="30"/>
  <c r="P52" i="30"/>
  <c r="P46" i="30"/>
  <c r="P40" i="30"/>
  <c r="P28" i="30"/>
  <c r="P16" i="30"/>
  <c r="P190" i="30"/>
  <c r="P142" i="30"/>
  <c r="P184" i="30"/>
  <c r="P171" i="30"/>
  <c r="P165" i="30"/>
  <c r="P153" i="30"/>
  <c r="P123" i="30"/>
  <c r="P117" i="30"/>
  <c r="P111" i="30"/>
  <c r="P93" i="30"/>
  <c r="P81" i="30"/>
  <c r="P75" i="30"/>
  <c r="P51" i="30"/>
  <c r="P21" i="30"/>
  <c r="P15" i="30"/>
  <c r="P202" i="30"/>
  <c r="P200" i="30"/>
  <c r="P152" i="30"/>
  <c r="P140" i="30"/>
  <c r="P172" i="30"/>
  <c r="P194" i="30"/>
  <c r="P146" i="30"/>
  <c r="P160" i="30"/>
  <c r="R49" i="32"/>
  <c r="N49" i="32" s="1"/>
  <c r="P75" i="32"/>
  <c r="R38" i="32"/>
  <c r="N38" i="32" s="1"/>
  <c r="R37" i="32"/>
  <c r="N37" i="32" s="1"/>
  <c r="P56" i="32"/>
  <c r="R145" i="32"/>
  <c r="N145" i="32" s="1"/>
  <c r="R74" i="32"/>
  <c r="N74" i="32" s="1"/>
  <c r="R139" i="32"/>
  <c r="N139" i="32" s="1"/>
  <c r="R68" i="32"/>
  <c r="N68" i="32" s="1"/>
  <c r="R133" i="32"/>
  <c r="N133" i="32" s="1"/>
  <c r="R62" i="32"/>
  <c r="N62" i="32" s="1"/>
  <c r="R127" i="32"/>
  <c r="N127" i="32" s="1"/>
  <c r="P122" i="32"/>
  <c r="R151" i="32"/>
  <c r="N151" i="32" s="1"/>
  <c r="P116" i="32"/>
  <c r="P110" i="32"/>
  <c r="P104" i="32"/>
  <c r="R80" i="32"/>
  <c r="N80" i="32" s="1"/>
  <c r="P98" i="32"/>
  <c r="R163" i="32"/>
  <c r="N163" i="32" s="1"/>
  <c r="P92" i="32"/>
  <c r="P157" i="32"/>
  <c r="P133" i="32"/>
  <c r="R103" i="32"/>
  <c r="N103" i="32" s="1"/>
  <c r="R91" i="32"/>
  <c r="N91" i="32" s="1"/>
  <c r="R168" i="32"/>
  <c r="N168" i="32" s="1"/>
  <c r="R132" i="32"/>
  <c r="N132" i="32" s="1"/>
  <c r="P115" i="32"/>
  <c r="P103" i="32"/>
  <c r="R85" i="32"/>
  <c r="N85" i="32" s="1"/>
  <c r="P168" i="32"/>
  <c r="P156" i="32"/>
  <c r="P144" i="32"/>
  <c r="P132" i="32"/>
  <c r="R120" i="32"/>
  <c r="N120" i="32" s="1"/>
  <c r="R102" i="32"/>
  <c r="N102" i="32" s="1"/>
  <c r="R90" i="32"/>
  <c r="N90" i="32" s="1"/>
  <c r="P79" i="32"/>
  <c r="P55" i="32"/>
  <c r="P151" i="32"/>
  <c r="P127" i="32"/>
  <c r="R97" i="32"/>
  <c r="N97" i="32" s="1"/>
  <c r="R126" i="32"/>
  <c r="N126" i="32" s="1"/>
  <c r="P91" i="32"/>
  <c r="P162" i="32"/>
  <c r="P150" i="32"/>
  <c r="P138" i="32"/>
  <c r="P126" i="32"/>
  <c r="R114" i="32"/>
  <c r="N114" i="32" s="1"/>
  <c r="R108" i="32"/>
  <c r="N108" i="32" s="1"/>
  <c r="R96" i="32"/>
  <c r="N96" i="32" s="1"/>
  <c r="P85" i="32"/>
  <c r="P73" i="32"/>
  <c r="P67" i="32"/>
  <c r="P61" i="32"/>
  <c r="P49" i="32"/>
  <c r="P43" i="32"/>
  <c r="P37" i="32"/>
  <c r="R167" i="32"/>
  <c r="N167" i="32" s="1"/>
  <c r="R161" i="32"/>
  <c r="N161" i="32" s="1"/>
  <c r="R155" i="32"/>
  <c r="N155" i="32" s="1"/>
  <c r="R149" i="32"/>
  <c r="N149" i="32" s="1"/>
  <c r="R143" i="32"/>
  <c r="N143" i="32" s="1"/>
  <c r="R137" i="32"/>
  <c r="N137" i="32" s="1"/>
  <c r="R131" i="32"/>
  <c r="N131" i="32" s="1"/>
  <c r="R125" i="32"/>
  <c r="N125" i="32" s="1"/>
  <c r="P120" i="32"/>
  <c r="P114" i="32"/>
  <c r="P108" i="32"/>
  <c r="P102" i="32"/>
  <c r="P96" i="32"/>
  <c r="P90" i="32"/>
  <c r="R84" i="32"/>
  <c r="N84" i="32" s="1"/>
  <c r="R78" i="32"/>
  <c r="N78" i="32" s="1"/>
  <c r="R72" i="32"/>
  <c r="N72" i="32" s="1"/>
  <c r="R66" i="32"/>
  <c r="N66" i="32" s="1"/>
  <c r="R60" i="32"/>
  <c r="N60" i="32" s="1"/>
  <c r="R54" i="32"/>
  <c r="N54" i="32" s="1"/>
  <c r="R48" i="32"/>
  <c r="N48" i="32" s="1"/>
  <c r="R42" i="32"/>
  <c r="N42" i="32" s="1"/>
  <c r="R36" i="32"/>
  <c r="N36" i="32" s="1"/>
  <c r="P163" i="32"/>
  <c r="R109" i="32"/>
  <c r="N109" i="32" s="1"/>
  <c r="P62" i="32"/>
  <c r="R150" i="32"/>
  <c r="N150" i="32" s="1"/>
  <c r="P97" i="32"/>
  <c r="P167" i="32"/>
  <c r="P149" i="32"/>
  <c r="P137" i="32"/>
  <c r="P125" i="32"/>
  <c r="R113" i="32"/>
  <c r="N113" i="32" s="1"/>
  <c r="R101" i="32"/>
  <c r="N101" i="32" s="1"/>
  <c r="R89" i="32"/>
  <c r="N89" i="32" s="1"/>
  <c r="P78" i="32"/>
  <c r="P66" i="32"/>
  <c r="P54" i="32"/>
  <c r="P48" i="32"/>
  <c r="P36" i="32"/>
  <c r="R144" i="32"/>
  <c r="N144" i="32" s="1"/>
  <c r="P161" i="32"/>
  <c r="P155" i="32"/>
  <c r="P143" i="32"/>
  <c r="P131" i="32"/>
  <c r="R119" i="32"/>
  <c r="N119" i="32" s="1"/>
  <c r="R107" i="32"/>
  <c r="N107" i="32" s="1"/>
  <c r="R95" i="32"/>
  <c r="N95" i="32" s="1"/>
  <c r="P84" i="32"/>
  <c r="P72" i="32"/>
  <c r="P60" i="32"/>
  <c r="P42" i="32"/>
  <c r="R166" i="32"/>
  <c r="N166" i="32" s="1"/>
  <c r="R160" i="32"/>
  <c r="N160" i="32" s="1"/>
  <c r="R154" i="32"/>
  <c r="N154" i="32" s="1"/>
  <c r="R148" i="32"/>
  <c r="N148" i="32" s="1"/>
  <c r="R142" i="32"/>
  <c r="N142" i="32" s="1"/>
  <c r="R136" i="32"/>
  <c r="N136" i="32" s="1"/>
  <c r="R130" i="32"/>
  <c r="N130" i="32" s="1"/>
  <c r="R124" i="32"/>
  <c r="N124" i="32" s="1"/>
  <c r="P119" i="32"/>
  <c r="P113" i="32"/>
  <c r="P107" i="32"/>
  <c r="P101" i="32"/>
  <c r="P95" i="32"/>
  <c r="P89" i="32"/>
  <c r="R83" i="32"/>
  <c r="N83" i="32" s="1"/>
  <c r="R77" i="32"/>
  <c r="N77" i="32" s="1"/>
  <c r="R71" i="32"/>
  <c r="N71" i="32" s="1"/>
  <c r="R65" i="32"/>
  <c r="N65" i="32" s="1"/>
  <c r="R59" i="32"/>
  <c r="N59" i="32" s="1"/>
  <c r="R53" i="32"/>
  <c r="N53" i="32" s="1"/>
  <c r="R47" i="32"/>
  <c r="N47" i="32" s="1"/>
  <c r="R41" i="32"/>
  <c r="N41" i="32" s="1"/>
  <c r="R35" i="32"/>
  <c r="N35" i="32" s="1"/>
  <c r="P139" i="32"/>
  <c r="R156" i="32"/>
  <c r="N156" i="32" s="1"/>
  <c r="R79" i="32"/>
  <c r="N79" i="32" s="1"/>
  <c r="P160" i="32"/>
  <c r="P148" i="32"/>
  <c r="P136" i="32"/>
  <c r="P124" i="32"/>
  <c r="R112" i="32"/>
  <c r="N112" i="32" s="1"/>
  <c r="R94" i="32"/>
  <c r="N94" i="32" s="1"/>
  <c r="P77" i="32"/>
  <c r="P47" i="32"/>
  <c r="R121" i="32"/>
  <c r="N121" i="32" s="1"/>
  <c r="P68" i="32"/>
  <c r="R138" i="32"/>
  <c r="N138" i="32" s="1"/>
  <c r="P109" i="32"/>
  <c r="R61" i="32"/>
  <c r="N61" i="32" s="1"/>
  <c r="P166" i="32"/>
  <c r="P154" i="32"/>
  <c r="P142" i="32"/>
  <c r="P130" i="32"/>
  <c r="R118" i="32"/>
  <c r="N118" i="32" s="1"/>
  <c r="R106" i="32"/>
  <c r="N106" i="32" s="1"/>
  <c r="R100" i="32"/>
  <c r="N100" i="32" s="1"/>
  <c r="R88" i="32"/>
  <c r="N88" i="32" s="1"/>
  <c r="P83" i="32"/>
  <c r="P71" i="32"/>
  <c r="P65" i="32"/>
  <c r="P59" i="32"/>
  <c r="P53" i="32"/>
  <c r="P41" i="32"/>
  <c r="P35" i="32"/>
  <c r="R165" i="32"/>
  <c r="N165" i="32" s="1"/>
  <c r="R159" i="32"/>
  <c r="N159" i="32" s="1"/>
  <c r="R153" i="32"/>
  <c r="N153" i="32" s="1"/>
  <c r="R147" i="32"/>
  <c r="N147" i="32" s="1"/>
  <c r="R141" i="32"/>
  <c r="N141" i="32" s="1"/>
  <c r="R135" i="32"/>
  <c r="N135" i="32" s="1"/>
  <c r="R129" i="32"/>
  <c r="N129" i="32" s="1"/>
  <c r="R123" i="32"/>
  <c r="N123" i="32" s="1"/>
  <c r="P118" i="32"/>
  <c r="P112" i="32"/>
  <c r="P106" i="32"/>
  <c r="P100" i="32"/>
  <c r="P94" i="32"/>
  <c r="P88" i="32"/>
  <c r="R82" i="32"/>
  <c r="N82" i="32" s="1"/>
  <c r="R76" i="32"/>
  <c r="N76" i="32" s="1"/>
  <c r="R70" i="32"/>
  <c r="N70" i="32" s="1"/>
  <c r="R64" i="32"/>
  <c r="N64" i="32" s="1"/>
  <c r="R58" i="32"/>
  <c r="N58" i="32" s="1"/>
  <c r="R52" i="32"/>
  <c r="N52" i="32" s="1"/>
  <c r="R46" i="32"/>
  <c r="N46" i="32" s="1"/>
  <c r="R40" i="32"/>
  <c r="N40" i="32" s="1"/>
  <c r="R34" i="32"/>
  <c r="N34" i="32" s="1"/>
  <c r="P74" i="32"/>
  <c r="P121" i="32"/>
  <c r="R73" i="32"/>
  <c r="N73" i="32" s="1"/>
  <c r="P159" i="32"/>
  <c r="P147" i="32"/>
  <c r="P135" i="32"/>
  <c r="P123" i="32"/>
  <c r="R111" i="32"/>
  <c r="N111" i="32" s="1"/>
  <c r="R99" i="32"/>
  <c r="N99" i="32" s="1"/>
  <c r="R93" i="32"/>
  <c r="N93" i="32" s="1"/>
  <c r="P82" i="32"/>
  <c r="P70" i="32"/>
  <c r="P58" i="32"/>
  <c r="P46" i="32"/>
  <c r="P34" i="32"/>
  <c r="R115" i="32"/>
  <c r="N115" i="32" s="1"/>
  <c r="R162" i="32"/>
  <c r="N162" i="32" s="1"/>
  <c r="R67" i="32"/>
  <c r="N67" i="32" s="1"/>
  <c r="P165" i="32"/>
  <c r="P153" i="32"/>
  <c r="P141" i="32"/>
  <c r="P129" i="32"/>
  <c r="R117" i="32"/>
  <c r="N117" i="32" s="1"/>
  <c r="R105" i="32"/>
  <c r="N105" i="32" s="1"/>
  <c r="R87" i="32"/>
  <c r="N87" i="32" s="1"/>
  <c r="P76" i="32"/>
  <c r="P64" i="32"/>
  <c r="P52" i="32"/>
  <c r="P40" i="32"/>
  <c r="R164" i="32"/>
  <c r="N164" i="32" s="1"/>
  <c r="R158" i="32"/>
  <c r="N158" i="32" s="1"/>
  <c r="R152" i="32"/>
  <c r="N152" i="32" s="1"/>
  <c r="R146" i="32"/>
  <c r="N146" i="32" s="1"/>
  <c r="R140" i="32"/>
  <c r="N140" i="32" s="1"/>
  <c r="R134" i="32"/>
  <c r="N134" i="32" s="1"/>
  <c r="R128" i="32"/>
  <c r="N128" i="32" s="1"/>
  <c r="P117" i="32"/>
  <c r="P111" i="32"/>
  <c r="P105" i="32"/>
  <c r="P99" i="32"/>
  <c r="P93" i="32"/>
  <c r="P87" i="32"/>
  <c r="R81" i="32"/>
  <c r="N81" i="32" s="1"/>
  <c r="R75" i="32"/>
  <c r="N75" i="32" s="1"/>
  <c r="R69" i="32"/>
  <c r="N69" i="32" s="1"/>
  <c r="R63" i="32"/>
  <c r="N63" i="32" s="1"/>
  <c r="R57" i="32"/>
  <c r="N57" i="32" s="1"/>
  <c r="R51" i="32"/>
  <c r="N51" i="32" s="1"/>
  <c r="R45" i="32"/>
  <c r="N45" i="32" s="1"/>
  <c r="R39" i="32"/>
  <c r="N39" i="32" s="1"/>
  <c r="P145" i="32"/>
  <c r="P80" i="32"/>
  <c r="P164" i="32"/>
  <c r="P158" i="32"/>
  <c r="P152" i="32"/>
  <c r="P146" i="32"/>
  <c r="P140" i="32"/>
  <c r="P134" i="32"/>
  <c r="P128" i="32"/>
  <c r="R122" i="32"/>
  <c r="N122" i="32" s="1"/>
  <c r="R116" i="32"/>
  <c r="N116" i="32" s="1"/>
  <c r="R110" i="32"/>
  <c r="N110" i="32" s="1"/>
  <c r="R104" i="32"/>
  <c r="N104" i="32" s="1"/>
  <c r="R98" i="32"/>
  <c r="N98" i="32" s="1"/>
  <c r="R92" i="32"/>
  <c r="N92" i="32" s="1"/>
  <c r="R86" i="32"/>
  <c r="N86" i="32" s="1"/>
  <c r="P81" i="32"/>
  <c r="P69" i="32"/>
  <c r="P63" i="32"/>
  <c r="P57" i="32"/>
  <c r="P51" i="32"/>
  <c r="P45" i="32"/>
  <c r="P39" i="32"/>
  <c r="S160" i="39"/>
  <c r="Q160" i="39" s="1"/>
  <c r="S151" i="39"/>
  <c r="Q151" i="39" s="1"/>
  <c r="S126" i="39"/>
  <c r="Q126" i="39" s="1"/>
  <c r="S124" i="39"/>
  <c r="S112" i="39"/>
  <c r="S91" i="39"/>
  <c r="S90" i="39"/>
  <c r="S76" i="39"/>
  <c r="S64" i="39"/>
  <c r="P155" i="30"/>
  <c r="P120" i="30"/>
  <c r="P69" i="30"/>
  <c r="P63" i="30"/>
  <c r="P57" i="30"/>
  <c r="P30" i="30"/>
  <c r="P24" i="30"/>
  <c r="P18" i="30"/>
  <c r="P79" i="30"/>
  <c r="P34" i="30"/>
  <c r="P158" i="30"/>
  <c r="P147" i="30"/>
  <c r="P141" i="30"/>
  <c r="P135" i="30"/>
  <c r="P129" i="30"/>
  <c r="P112" i="30"/>
  <c r="P106" i="30"/>
  <c r="P100" i="30"/>
  <c r="P55" i="30"/>
  <c r="P39" i="30"/>
  <c r="P33" i="30"/>
  <c r="P187" i="30"/>
  <c r="P170" i="30"/>
  <c r="P182" i="30"/>
  <c r="P87" i="30"/>
  <c r="P176" i="30"/>
  <c r="P145" i="30"/>
  <c r="P139" i="30"/>
  <c r="P127" i="30"/>
  <c r="P76" i="30"/>
  <c r="P43" i="30"/>
  <c r="P89" i="30"/>
  <c r="P125" i="30"/>
  <c r="P107" i="30"/>
  <c r="P134" i="30"/>
  <c r="P20" i="30"/>
  <c r="P38" i="30"/>
  <c r="P56" i="30"/>
  <c r="P98" i="30"/>
  <c r="P74" i="30"/>
  <c r="P128" i="30"/>
  <c r="P101" i="30"/>
  <c r="P92" i="30"/>
  <c r="P44" i="30"/>
  <c r="P26" i="30"/>
  <c r="P83" i="30"/>
  <c r="P29" i="30"/>
  <c r="P137" i="30"/>
  <c r="P131" i="30"/>
  <c r="P122" i="30"/>
  <c r="P113" i="30"/>
  <c r="P104" i="30"/>
  <c r="P95" i="30"/>
  <c r="P86" i="30"/>
  <c r="P50" i="30"/>
  <c r="P32" i="30"/>
  <c r="P14" i="30"/>
  <c r="P71" i="30"/>
  <c r="P35" i="30"/>
  <c r="P77" i="30"/>
  <c r="P59" i="30"/>
  <c r="P23" i="30"/>
  <c r="S103" i="39"/>
  <c r="Q103" i="39" s="1"/>
  <c r="S78" i="39"/>
  <c r="Q78" i="39" s="1"/>
  <c r="S139" i="39"/>
  <c r="S55" i="39"/>
  <c r="S138" i="39"/>
  <c r="S43" i="39"/>
  <c r="S136" i="39"/>
  <c r="S42" i="39"/>
  <c r="S88" i="39"/>
  <c r="S40" i="39"/>
  <c r="S127" i="39"/>
  <c r="Q127" i="39" s="1"/>
  <c r="S79" i="39"/>
  <c r="Q79" i="39" s="1"/>
  <c r="S34" i="39"/>
  <c r="Q34" i="39" s="1"/>
  <c r="S163" i="39"/>
  <c r="S115" i="39"/>
  <c r="S67" i="39"/>
  <c r="S162" i="39"/>
  <c r="S114" i="39"/>
  <c r="S66" i="39"/>
  <c r="S150" i="39"/>
  <c r="S102" i="39"/>
  <c r="S54" i="39"/>
  <c r="Q54" i="39" s="1"/>
  <c r="S148" i="39"/>
  <c r="Q148" i="39" s="1"/>
  <c r="S100" i="39"/>
  <c r="S52" i="39"/>
  <c r="Q52" i="39" s="1"/>
  <c r="S166" i="39"/>
  <c r="S154" i="39"/>
  <c r="S142" i="39"/>
  <c r="S130" i="39"/>
  <c r="S118" i="39"/>
  <c r="S106" i="39"/>
  <c r="S94" i="39"/>
  <c r="Q94" i="39" s="1"/>
  <c r="S82" i="39"/>
  <c r="Q82" i="39" s="1"/>
  <c r="S70" i="39"/>
  <c r="Q70" i="39" s="1"/>
  <c r="S58" i="39"/>
  <c r="S46" i="39"/>
  <c r="S165" i="39"/>
  <c r="S153" i="39"/>
  <c r="S141" i="39"/>
  <c r="S129" i="39"/>
  <c r="S117" i="39"/>
  <c r="S105" i="39"/>
  <c r="S93" i="39"/>
  <c r="Q93" i="39" s="1"/>
  <c r="S81" i="39"/>
  <c r="Q81" i="39" s="1"/>
  <c r="S69" i="39"/>
  <c r="Q69" i="39" s="1"/>
  <c r="S57" i="39"/>
  <c r="S45" i="39"/>
  <c r="S164" i="39"/>
  <c r="S152" i="39"/>
  <c r="S140" i="39"/>
  <c r="S128" i="39"/>
  <c r="S116" i="39"/>
  <c r="S104" i="39"/>
  <c r="S92" i="39"/>
  <c r="Q92" i="39" s="1"/>
  <c r="S80" i="39"/>
  <c r="Q80" i="39" s="1"/>
  <c r="S68" i="39"/>
  <c r="Q68" i="39" s="1"/>
  <c r="S56" i="39"/>
  <c r="S44" i="39"/>
  <c r="S161" i="39"/>
  <c r="S149" i="39"/>
  <c r="S137" i="39"/>
  <c r="S125" i="39"/>
  <c r="S113" i="39"/>
  <c r="S101" i="39"/>
  <c r="S89" i="39"/>
  <c r="S77" i="39"/>
  <c r="Q77" i="39" s="1"/>
  <c r="S65" i="39"/>
  <c r="Q65" i="39" s="1"/>
  <c r="S53" i="39"/>
  <c r="Q53" i="39" s="1"/>
  <c r="S41" i="39"/>
  <c r="S159" i="39"/>
  <c r="S147" i="39"/>
  <c r="S123" i="39"/>
  <c r="S111" i="39"/>
  <c r="S99" i="39"/>
  <c r="S87" i="39"/>
  <c r="S75" i="39"/>
  <c r="S63" i="39"/>
  <c r="S51" i="39"/>
  <c r="Q51" i="39" s="1"/>
  <c r="S39" i="39"/>
  <c r="Q39" i="39" s="1"/>
  <c r="S37" i="39"/>
  <c r="Q37" i="39" s="1"/>
  <c r="S135" i="39"/>
  <c r="S158" i="39"/>
  <c r="S146" i="39"/>
  <c r="S134" i="39"/>
  <c r="S122" i="39"/>
  <c r="S110" i="39"/>
  <c r="S98" i="39"/>
  <c r="Q98" i="39" s="1"/>
  <c r="S86" i="39"/>
  <c r="Q86" i="39" s="1"/>
  <c r="S74" i="39"/>
  <c r="Q74" i="39" s="1"/>
  <c r="S62" i="39"/>
  <c r="S50" i="39"/>
  <c r="S38" i="39"/>
  <c r="S157" i="39"/>
  <c r="S145" i="39"/>
  <c r="S133" i="39"/>
  <c r="S121" i="39"/>
  <c r="Q121" i="39" s="1"/>
  <c r="S109" i="39"/>
  <c r="Q109" i="39" s="1"/>
  <c r="S97" i="39"/>
  <c r="Q97" i="39" s="1"/>
  <c r="S85" i="39"/>
  <c r="Q85" i="39" s="1"/>
  <c r="S73" i="39"/>
  <c r="S61" i="39"/>
  <c r="S49" i="39"/>
  <c r="S168" i="39"/>
  <c r="S156" i="39"/>
  <c r="S144" i="39"/>
  <c r="S132" i="39"/>
  <c r="S120" i="39"/>
  <c r="S108" i="39"/>
  <c r="Q108" i="39" s="1"/>
  <c r="S96" i="39"/>
  <c r="Q96" i="39" s="1"/>
  <c r="S84" i="39"/>
  <c r="Q84" i="39" s="1"/>
  <c r="S72" i="39"/>
  <c r="S60" i="39"/>
  <c r="S48" i="39"/>
  <c r="S36" i="39"/>
  <c r="S167" i="39"/>
  <c r="S155" i="39"/>
  <c r="S143" i="39"/>
  <c r="S131" i="39"/>
  <c r="Q131" i="39" s="1"/>
  <c r="S119" i="39"/>
  <c r="Q119" i="39" s="1"/>
  <c r="S107" i="39"/>
  <c r="Q107" i="39" s="1"/>
  <c r="S95" i="39"/>
  <c r="Q95" i="39" s="1"/>
  <c r="S83" i="39"/>
  <c r="S71" i="39"/>
  <c r="S59" i="39"/>
  <c r="S47" i="39"/>
  <c r="S35" i="39"/>
  <c r="S135" i="32"/>
  <c r="S114" i="32"/>
  <c r="S92" i="32"/>
  <c r="S71" i="32"/>
  <c r="S113" i="32"/>
  <c r="S91" i="32"/>
  <c r="S47" i="32"/>
  <c r="S68" i="32"/>
  <c r="S44" i="32"/>
  <c r="S152" i="32"/>
  <c r="S155" i="32"/>
  <c r="S136" i="32"/>
  <c r="S128" i="32"/>
  <c r="S66" i="32"/>
  <c r="S161" i="32"/>
  <c r="S139" i="32"/>
  <c r="S119" i="32"/>
  <c r="S100" i="32"/>
  <c r="S78" i="32"/>
  <c r="S54" i="32"/>
  <c r="S160" i="32"/>
  <c r="S138" i="32"/>
  <c r="S116" i="32"/>
  <c r="S99" i="32"/>
  <c r="S76" i="32"/>
  <c r="S52" i="32"/>
  <c r="S159" i="32"/>
  <c r="S137" i="32"/>
  <c r="S115" i="32"/>
  <c r="S95" i="32"/>
  <c r="S75" i="32"/>
  <c r="S51" i="32"/>
  <c r="S90" i="32"/>
  <c r="S111" i="32"/>
  <c r="S89" i="32"/>
  <c r="S34" i="32"/>
  <c r="S149" i="32"/>
  <c r="S127" i="32"/>
  <c r="S107" i="32"/>
  <c r="S88" i="32"/>
  <c r="S64" i="32"/>
  <c r="S39" i="32"/>
  <c r="S167" i="32"/>
  <c r="S148" i="32"/>
  <c r="S126" i="32"/>
  <c r="S104" i="32"/>
  <c r="S87" i="32"/>
  <c r="S63" i="32"/>
  <c r="S35" i="32"/>
  <c r="S151" i="32"/>
  <c r="S59" i="32"/>
  <c r="S43" i="32"/>
  <c r="S80" i="32"/>
  <c r="S131" i="32"/>
  <c r="S112" i="32"/>
  <c r="S67" i="32"/>
  <c r="S150" i="32"/>
  <c r="S42" i="32"/>
  <c r="S164" i="32"/>
  <c r="S147" i="32"/>
  <c r="S125" i="32"/>
  <c r="S103" i="32"/>
  <c r="S83" i="32"/>
  <c r="S163" i="32"/>
  <c r="S143" i="32"/>
  <c r="S124" i="32"/>
  <c r="S102" i="32"/>
  <c r="S56" i="32"/>
  <c r="S162" i="32"/>
  <c r="S140" i="32"/>
  <c r="S123" i="32"/>
  <c r="S101" i="32"/>
  <c r="S79" i="32"/>
  <c r="S55" i="32"/>
  <c r="S166" i="32"/>
  <c r="S154" i="32"/>
  <c r="S142" i="32"/>
  <c r="S130" i="32"/>
  <c r="S118" i="32"/>
  <c r="S106" i="32"/>
  <c r="S94" i="32"/>
  <c r="S82" i="32"/>
  <c r="S70" i="32"/>
  <c r="S58" i="32"/>
  <c r="S46" i="32"/>
  <c r="L23" i="32"/>
  <c r="S165" i="32"/>
  <c r="S153" i="32"/>
  <c r="S141" i="32"/>
  <c r="S129" i="32"/>
  <c r="S117" i="32"/>
  <c r="S105" i="32"/>
  <c r="S93" i="32"/>
  <c r="S81" i="32"/>
  <c r="S69" i="32"/>
  <c r="S57" i="32"/>
  <c r="S45" i="32"/>
  <c r="S77" i="32"/>
  <c r="S65" i="32"/>
  <c r="S53" i="32"/>
  <c r="S41" i="32"/>
  <c r="S40" i="32"/>
  <c r="S157" i="32"/>
  <c r="S145" i="32"/>
  <c r="S133" i="32"/>
  <c r="S121" i="32"/>
  <c r="S109" i="32"/>
  <c r="S97" i="32"/>
  <c r="S85" i="32"/>
  <c r="S73" i="32"/>
  <c r="S61" i="32"/>
  <c r="S49" i="32"/>
  <c r="S37" i="32"/>
  <c r="S158" i="32"/>
  <c r="S146" i="32"/>
  <c r="S134" i="32"/>
  <c r="S122" i="32"/>
  <c r="S110" i="32"/>
  <c r="S98" i="32"/>
  <c r="S86" i="32"/>
  <c r="S74" i="32"/>
  <c r="S62" i="32"/>
  <c r="S50" i="32"/>
  <c r="S38" i="32"/>
  <c r="S168" i="32"/>
  <c r="S156" i="32"/>
  <c r="S144" i="32"/>
  <c r="S132" i="32"/>
  <c r="S120" i="32"/>
  <c r="S108" i="32"/>
  <c r="S96" i="32"/>
  <c r="S84" i="32"/>
  <c r="S72" i="32"/>
  <c r="S60" i="32"/>
  <c r="S48" i="32"/>
  <c r="M13" i="41"/>
  <c r="M14" i="41"/>
  <c r="M15" i="41"/>
  <c r="M16" i="41"/>
  <c r="M17" i="41"/>
  <c r="M18" i="41"/>
  <c r="M19" i="41"/>
  <c r="M20" i="41"/>
  <c r="M21" i="41"/>
  <c r="M22" i="41"/>
  <c r="M23" i="41"/>
  <c r="M24" i="41"/>
  <c r="M25" i="41"/>
  <c r="M26" i="41"/>
  <c r="M27" i="41"/>
  <c r="M28" i="41"/>
  <c r="M29" i="41"/>
  <c r="M30" i="41"/>
  <c r="M31" i="41"/>
  <c r="M32" i="41"/>
  <c r="M33" i="41"/>
  <c r="M34" i="41"/>
  <c r="M35" i="41"/>
  <c r="M36" i="41"/>
  <c r="M37" i="41"/>
  <c r="M38" i="41"/>
  <c r="M39" i="41"/>
  <c r="M40" i="41"/>
  <c r="M41" i="41"/>
  <c r="M42" i="41"/>
  <c r="M43" i="41"/>
  <c r="M44" i="41"/>
  <c r="M45" i="41"/>
  <c r="M46" i="41"/>
  <c r="M47" i="41"/>
  <c r="M48" i="41"/>
  <c r="M49" i="41"/>
  <c r="M50" i="41"/>
  <c r="M51" i="41"/>
  <c r="M52" i="41"/>
  <c r="M53" i="41"/>
  <c r="M54" i="41"/>
  <c r="M55" i="41"/>
  <c r="M56" i="41"/>
  <c r="M57" i="41"/>
  <c r="M58" i="41"/>
  <c r="M59" i="41"/>
  <c r="M60" i="41"/>
  <c r="M61" i="41"/>
  <c r="M62" i="41"/>
  <c r="M63" i="41"/>
  <c r="M64" i="41"/>
  <c r="M65" i="41"/>
  <c r="M66" i="41"/>
  <c r="M67" i="41"/>
  <c r="M68" i="41"/>
  <c r="M69" i="41"/>
  <c r="M70" i="41"/>
  <c r="M71" i="41"/>
  <c r="M72" i="41"/>
  <c r="M73" i="41"/>
  <c r="M74" i="41"/>
  <c r="M75" i="41"/>
  <c r="M76" i="41"/>
  <c r="M77" i="41"/>
  <c r="M78" i="41"/>
  <c r="M79" i="41"/>
  <c r="M80" i="41"/>
  <c r="M81" i="41"/>
  <c r="M82" i="41"/>
  <c r="M83" i="41"/>
  <c r="M84" i="41"/>
  <c r="M85" i="41"/>
  <c r="M86" i="41"/>
  <c r="M87" i="41"/>
  <c r="M88" i="41"/>
  <c r="M89" i="41"/>
  <c r="M90" i="41"/>
  <c r="M91" i="41"/>
  <c r="M92" i="41"/>
  <c r="M93" i="41"/>
  <c r="M94" i="41"/>
  <c r="M95" i="41"/>
  <c r="M96" i="41"/>
  <c r="M97" i="41"/>
  <c r="M98" i="41"/>
  <c r="M99" i="41"/>
  <c r="M100" i="41"/>
  <c r="M101" i="41"/>
  <c r="M102" i="41"/>
  <c r="M103" i="41"/>
  <c r="M104" i="41"/>
  <c r="M105" i="41"/>
  <c r="M106" i="41"/>
  <c r="M107" i="41"/>
  <c r="M108" i="41"/>
  <c r="M109" i="41"/>
  <c r="M110" i="41"/>
  <c r="M111" i="41"/>
  <c r="M112" i="41"/>
  <c r="M113" i="41"/>
  <c r="M114" i="41"/>
  <c r="M115" i="41"/>
  <c r="M116" i="41"/>
  <c r="M117" i="41"/>
  <c r="M118" i="41"/>
  <c r="M119" i="41"/>
  <c r="M120" i="41"/>
  <c r="M121" i="41"/>
  <c r="M122" i="41"/>
  <c r="M123" i="41"/>
  <c r="M124" i="41"/>
  <c r="M125" i="41"/>
  <c r="M126" i="41"/>
  <c r="M127" i="41"/>
  <c r="M128" i="41"/>
  <c r="M129" i="41"/>
  <c r="M130" i="41"/>
  <c r="M131" i="41"/>
  <c r="M132" i="41"/>
  <c r="M133" i="41"/>
  <c r="M134" i="41"/>
  <c r="M135" i="41"/>
  <c r="M136" i="41"/>
  <c r="M137" i="41"/>
  <c r="M138" i="41"/>
  <c r="M139" i="41"/>
  <c r="M140" i="41"/>
  <c r="M141" i="41"/>
  <c r="M142" i="41"/>
  <c r="M143" i="41"/>
  <c r="M144" i="41"/>
  <c r="M145" i="41"/>
  <c r="M146" i="41"/>
  <c r="M147" i="41"/>
  <c r="M148" i="41"/>
  <c r="M149" i="41"/>
  <c r="M150" i="41"/>
  <c r="M151" i="41"/>
  <c r="M152" i="41"/>
  <c r="M153" i="41"/>
  <c r="M154" i="41"/>
  <c r="M155" i="41"/>
  <c r="M156" i="41"/>
  <c r="M157" i="41"/>
  <c r="M158" i="41"/>
  <c r="M159" i="41"/>
  <c r="M160" i="41"/>
  <c r="M161" i="41"/>
  <c r="M162" i="41"/>
  <c r="M163" i="41"/>
  <c r="M164" i="41"/>
  <c r="M165" i="41"/>
  <c r="M166" i="41"/>
  <c r="M167" i="41"/>
  <c r="M168" i="41"/>
  <c r="M169" i="41"/>
  <c r="M170" i="41"/>
  <c r="M171" i="41"/>
  <c r="M172" i="41"/>
  <c r="M173" i="41"/>
  <c r="M174" i="41"/>
  <c r="M175" i="41"/>
  <c r="M176" i="41"/>
  <c r="M177" i="41"/>
  <c r="M178" i="41"/>
  <c r="M179" i="41"/>
  <c r="M180" i="41"/>
  <c r="M181" i="41"/>
  <c r="M182" i="41"/>
  <c r="M183" i="41"/>
  <c r="M184" i="41"/>
  <c r="M185" i="41"/>
  <c r="M186" i="41"/>
  <c r="M187" i="41"/>
  <c r="M188" i="41"/>
  <c r="M189" i="41"/>
  <c r="M190" i="41"/>
  <c r="M191" i="41"/>
  <c r="M192" i="41"/>
  <c r="M193" i="41"/>
  <c r="M194" i="41"/>
  <c r="M195" i="41"/>
  <c r="M196" i="41"/>
  <c r="M197" i="41"/>
  <c r="M198" i="41"/>
  <c r="M199" i="41"/>
  <c r="M200" i="41"/>
  <c r="M201" i="41"/>
  <c r="M202" i="41"/>
  <c r="M203" i="41"/>
  <c r="M204" i="41"/>
  <c r="M12" i="41"/>
  <c r="L13" i="41" a="1"/>
  <c r="L13" i="41" s="1"/>
  <c r="L14" i="41" a="1"/>
  <c r="L14" i="41" s="1"/>
  <c r="L15" i="41" a="1"/>
  <c r="L15" i="41" s="1"/>
  <c r="L16" i="41" a="1"/>
  <c r="L16" i="41" s="1"/>
  <c r="L17" i="41" a="1"/>
  <c r="L17" i="41" s="1"/>
  <c r="L18" i="41" a="1"/>
  <c r="L18" i="41" s="1"/>
  <c r="L19" i="41" a="1"/>
  <c r="L19" i="41" s="1"/>
  <c r="L20" i="41" a="1"/>
  <c r="L20" i="41" s="1"/>
  <c r="L21" i="41" a="1"/>
  <c r="L21" i="41" s="1"/>
  <c r="L22" i="41" a="1"/>
  <c r="L22" i="41" s="1"/>
  <c r="L23" i="41" a="1"/>
  <c r="L23" i="41" s="1"/>
  <c r="L24" i="41" a="1"/>
  <c r="L24" i="41" s="1"/>
  <c r="L25" i="41" a="1"/>
  <c r="L25" i="41" s="1"/>
  <c r="L26" i="41" a="1"/>
  <c r="L26" i="41" s="1"/>
  <c r="L27" i="41" a="1"/>
  <c r="L27" i="41" s="1"/>
  <c r="L28" i="41" a="1"/>
  <c r="L28" i="41" s="1"/>
  <c r="L29" i="41" a="1"/>
  <c r="L29" i="41" s="1"/>
  <c r="L30" i="41" a="1"/>
  <c r="L30" i="41" s="1"/>
  <c r="L31" i="41" a="1"/>
  <c r="L31" i="41" s="1"/>
  <c r="L32" i="41" a="1"/>
  <c r="L32" i="41" s="1"/>
  <c r="L33" i="41" a="1"/>
  <c r="L33" i="41" s="1"/>
  <c r="L34" i="41" a="1"/>
  <c r="L34" i="41" s="1"/>
  <c r="L35" i="41" a="1"/>
  <c r="L35" i="41" s="1"/>
  <c r="L36" i="41" a="1"/>
  <c r="L36" i="41" s="1"/>
  <c r="L37" i="41" a="1"/>
  <c r="L37" i="41" s="1"/>
  <c r="L38" i="41" a="1"/>
  <c r="L38" i="41" s="1"/>
  <c r="L39" i="41" a="1"/>
  <c r="L39" i="41" s="1"/>
  <c r="L40" i="41" a="1"/>
  <c r="L40" i="41" s="1"/>
  <c r="L41" i="41" a="1"/>
  <c r="L41" i="41" s="1"/>
  <c r="L42" i="41" a="1"/>
  <c r="L42" i="41" s="1"/>
  <c r="L43" i="41" a="1"/>
  <c r="L43" i="41" s="1"/>
  <c r="L44" i="41" a="1"/>
  <c r="L44" i="41" s="1"/>
  <c r="L45" i="41" a="1"/>
  <c r="L45" i="41" s="1"/>
  <c r="L46" i="41" a="1"/>
  <c r="L46" i="41" s="1"/>
  <c r="L47" i="41" a="1"/>
  <c r="L47" i="41" s="1"/>
  <c r="L48" i="41" a="1"/>
  <c r="L48" i="41" s="1"/>
  <c r="L49" i="41" a="1"/>
  <c r="L49" i="41" s="1"/>
  <c r="L50" i="41" a="1"/>
  <c r="L50" i="41" s="1"/>
  <c r="L51" i="41" a="1"/>
  <c r="L51" i="41" s="1"/>
  <c r="L52" i="41" a="1"/>
  <c r="L52" i="41" s="1"/>
  <c r="L53" i="41" a="1"/>
  <c r="L53" i="41" s="1"/>
  <c r="L54" i="41" a="1"/>
  <c r="L54" i="41" s="1"/>
  <c r="L55" i="41" a="1"/>
  <c r="L55" i="41" s="1"/>
  <c r="L56" i="41" a="1"/>
  <c r="L56" i="41" s="1"/>
  <c r="L57" i="41" a="1"/>
  <c r="L57" i="41" s="1"/>
  <c r="L58" i="41" a="1"/>
  <c r="L58" i="41" s="1"/>
  <c r="L59" i="41" a="1"/>
  <c r="L59" i="41" s="1"/>
  <c r="L60" i="41" a="1"/>
  <c r="L60" i="41" s="1"/>
  <c r="L61" i="41" a="1"/>
  <c r="L61" i="41" s="1"/>
  <c r="L62" i="41" a="1"/>
  <c r="L62" i="41" s="1"/>
  <c r="L63" i="41" a="1"/>
  <c r="L63" i="41" s="1"/>
  <c r="L64" i="41" a="1"/>
  <c r="L64" i="41" s="1"/>
  <c r="L65" i="41" a="1"/>
  <c r="L65" i="41" s="1"/>
  <c r="L66" i="41" a="1"/>
  <c r="L66" i="41" s="1"/>
  <c r="L67" i="41" a="1"/>
  <c r="L67" i="41" s="1"/>
  <c r="L68" i="41" a="1"/>
  <c r="L68" i="41" s="1"/>
  <c r="L69" i="41" a="1"/>
  <c r="L69" i="41" s="1"/>
  <c r="L70" i="41" a="1"/>
  <c r="L70" i="41" s="1"/>
  <c r="L71" i="41" a="1"/>
  <c r="L71" i="41" s="1"/>
  <c r="L72" i="41" a="1"/>
  <c r="L72" i="41" s="1"/>
  <c r="L73" i="41" a="1"/>
  <c r="L73" i="41" s="1"/>
  <c r="L74" i="41" a="1"/>
  <c r="L74" i="41" s="1"/>
  <c r="L75" i="41" a="1"/>
  <c r="L75" i="41" s="1"/>
  <c r="L76" i="41" a="1"/>
  <c r="L76" i="41" s="1"/>
  <c r="L77" i="41" a="1"/>
  <c r="L77" i="41" s="1"/>
  <c r="L78" i="41" a="1"/>
  <c r="L78" i="41" s="1"/>
  <c r="L79" i="41" a="1"/>
  <c r="L79" i="41" s="1"/>
  <c r="L80" i="41" a="1"/>
  <c r="L80" i="41" s="1"/>
  <c r="L81" i="41" a="1"/>
  <c r="L81" i="41" s="1"/>
  <c r="L82" i="41" a="1"/>
  <c r="L82" i="41" s="1"/>
  <c r="L83" i="41" a="1"/>
  <c r="L83" i="41" s="1"/>
  <c r="L84" i="41" a="1"/>
  <c r="L84" i="41" s="1"/>
  <c r="L85" i="41" a="1"/>
  <c r="L85" i="41" s="1"/>
  <c r="L86" i="41" a="1"/>
  <c r="L86" i="41" s="1"/>
  <c r="L87" i="41" a="1"/>
  <c r="L87" i="41" s="1"/>
  <c r="L88" i="41" a="1"/>
  <c r="L88" i="41" s="1"/>
  <c r="L89" i="41" a="1"/>
  <c r="L89" i="41" s="1"/>
  <c r="L90" i="41" a="1"/>
  <c r="L90" i="41" s="1"/>
  <c r="L91" i="41" a="1"/>
  <c r="L91" i="41" s="1"/>
  <c r="L92" i="41" a="1"/>
  <c r="L92" i="41" s="1"/>
  <c r="L93" i="41" a="1"/>
  <c r="L93" i="41" s="1"/>
  <c r="L94" i="41" a="1"/>
  <c r="L94" i="41" s="1"/>
  <c r="L95" i="41" a="1"/>
  <c r="L95" i="41" s="1"/>
  <c r="L96" i="41" a="1"/>
  <c r="L96" i="41" s="1"/>
  <c r="L97" i="41" a="1"/>
  <c r="L97" i="41" s="1"/>
  <c r="L98" i="41" a="1"/>
  <c r="L98" i="41" s="1"/>
  <c r="L99" i="41" a="1"/>
  <c r="L99" i="41" s="1"/>
  <c r="L100" i="41" a="1"/>
  <c r="L100" i="41" s="1"/>
  <c r="L101" i="41" a="1"/>
  <c r="L101" i="41" s="1"/>
  <c r="L102" i="41" a="1"/>
  <c r="L102" i="41" s="1"/>
  <c r="L103" i="41" a="1"/>
  <c r="L103" i="41" s="1"/>
  <c r="L104" i="41" a="1"/>
  <c r="L104" i="41" s="1"/>
  <c r="L105" i="41" a="1"/>
  <c r="L105" i="41" s="1"/>
  <c r="L106" i="41" a="1"/>
  <c r="L106" i="41" s="1"/>
  <c r="L107" i="41" a="1"/>
  <c r="L107" i="41" s="1"/>
  <c r="L108" i="41" a="1"/>
  <c r="L108" i="41" s="1"/>
  <c r="L109" i="41" a="1"/>
  <c r="L109" i="41" s="1"/>
  <c r="L110" i="41" a="1"/>
  <c r="L110" i="41" s="1"/>
  <c r="L111" i="41" a="1"/>
  <c r="L111" i="41" s="1"/>
  <c r="L112" i="41" a="1"/>
  <c r="L112" i="41" s="1"/>
  <c r="L113" i="41" a="1"/>
  <c r="L113" i="41" s="1"/>
  <c r="L114" i="41" a="1"/>
  <c r="L114" i="41" s="1"/>
  <c r="L115" i="41" a="1"/>
  <c r="L115" i="41" s="1"/>
  <c r="L116" i="41" a="1"/>
  <c r="L116" i="41" s="1"/>
  <c r="L117" i="41" a="1"/>
  <c r="L117" i="41" s="1"/>
  <c r="L118" i="41" a="1"/>
  <c r="L118" i="41" s="1"/>
  <c r="L119" i="41" a="1"/>
  <c r="L119" i="41" s="1"/>
  <c r="L120" i="41" a="1"/>
  <c r="L120" i="41" s="1"/>
  <c r="L121" i="41" a="1"/>
  <c r="L121" i="41" s="1"/>
  <c r="L122" i="41" a="1"/>
  <c r="L122" i="41" s="1"/>
  <c r="L123" i="41" a="1"/>
  <c r="L123" i="41" s="1"/>
  <c r="L124" i="41" a="1"/>
  <c r="L124" i="41" s="1"/>
  <c r="L125" i="41" a="1"/>
  <c r="L125" i="41" s="1"/>
  <c r="L126" i="41" a="1"/>
  <c r="L126" i="41" s="1"/>
  <c r="L127" i="41" a="1"/>
  <c r="L127" i="41" s="1"/>
  <c r="L128" i="41" a="1"/>
  <c r="L128" i="41" s="1"/>
  <c r="L129" i="41" a="1"/>
  <c r="L129" i="41" s="1"/>
  <c r="L130" i="41" a="1"/>
  <c r="L130" i="41" s="1"/>
  <c r="L131" i="41" a="1"/>
  <c r="L131" i="41" s="1"/>
  <c r="L132" i="41" a="1"/>
  <c r="L132" i="41" s="1"/>
  <c r="L133" i="41" a="1"/>
  <c r="L133" i="41" s="1"/>
  <c r="L134" i="41" a="1"/>
  <c r="L134" i="41" s="1"/>
  <c r="L135" i="41" a="1"/>
  <c r="L135" i="41" s="1"/>
  <c r="L136" i="41" a="1"/>
  <c r="L136" i="41" s="1"/>
  <c r="L137" i="41" a="1"/>
  <c r="L137" i="41" s="1"/>
  <c r="L138" i="41" a="1"/>
  <c r="L138" i="41" s="1"/>
  <c r="L139" i="41" a="1"/>
  <c r="L139" i="41" s="1"/>
  <c r="L140" i="41" a="1"/>
  <c r="L140" i="41" s="1"/>
  <c r="L141" i="41" a="1"/>
  <c r="L141" i="41" s="1"/>
  <c r="L142" i="41" a="1"/>
  <c r="L142" i="41" s="1"/>
  <c r="L143" i="41" a="1"/>
  <c r="L143" i="41" s="1"/>
  <c r="L144" i="41" a="1"/>
  <c r="L144" i="41" s="1"/>
  <c r="L145" i="41" a="1"/>
  <c r="L145" i="41" s="1"/>
  <c r="L146" i="41" a="1"/>
  <c r="L146" i="41" s="1"/>
  <c r="L147" i="41" a="1"/>
  <c r="L147" i="41" s="1"/>
  <c r="L148" i="41" a="1"/>
  <c r="L148" i="41" s="1"/>
  <c r="L149" i="41" a="1"/>
  <c r="L149" i="41" s="1"/>
  <c r="L150" i="41" a="1"/>
  <c r="L150" i="41" s="1"/>
  <c r="L151" i="41" a="1"/>
  <c r="L151" i="41" s="1"/>
  <c r="L152" i="41" a="1"/>
  <c r="L152" i="41" s="1"/>
  <c r="L153" i="41" a="1"/>
  <c r="L153" i="41" s="1"/>
  <c r="L154" i="41" a="1"/>
  <c r="L154" i="41" s="1"/>
  <c r="L155" i="41" a="1"/>
  <c r="L155" i="41" s="1"/>
  <c r="L156" i="41" a="1"/>
  <c r="L156" i="41" s="1"/>
  <c r="L157" i="41" a="1"/>
  <c r="L157" i="41" s="1"/>
  <c r="L158" i="41" a="1"/>
  <c r="L158" i="41" s="1"/>
  <c r="L159" i="41" a="1"/>
  <c r="L159" i="41" s="1"/>
  <c r="L160" i="41" a="1"/>
  <c r="L160" i="41" s="1"/>
  <c r="L161" i="41" a="1"/>
  <c r="L161" i="41" s="1"/>
  <c r="L162" i="41" a="1"/>
  <c r="L162" i="41" s="1"/>
  <c r="L163" i="41" a="1"/>
  <c r="L163" i="41" s="1"/>
  <c r="L164" i="41" a="1"/>
  <c r="L164" i="41" s="1"/>
  <c r="L165" i="41" a="1"/>
  <c r="L165" i="41" s="1"/>
  <c r="L166" i="41" a="1"/>
  <c r="L166" i="41" s="1"/>
  <c r="L167" i="41" a="1"/>
  <c r="L167" i="41" s="1"/>
  <c r="L168" i="41" a="1"/>
  <c r="L168" i="41" s="1"/>
  <c r="L169" i="41" a="1"/>
  <c r="L169" i="41" s="1"/>
  <c r="L170" i="41" a="1"/>
  <c r="L170" i="41" s="1"/>
  <c r="L171" i="41" a="1"/>
  <c r="L171" i="41" s="1"/>
  <c r="L172" i="41" a="1"/>
  <c r="L172" i="41" s="1"/>
  <c r="L173" i="41" a="1"/>
  <c r="L173" i="41" s="1"/>
  <c r="L174" i="41" a="1"/>
  <c r="L174" i="41" s="1"/>
  <c r="L175" i="41" a="1"/>
  <c r="L175" i="41" s="1"/>
  <c r="L176" i="41" a="1"/>
  <c r="L176" i="41" s="1"/>
  <c r="L177" i="41" a="1"/>
  <c r="L177" i="41" s="1"/>
  <c r="L178" i="41" a="1"/>
  <c r="L178" i="41" s="1"/>
  <c r="L179" i="41" a="1"/>
  <c r="L179" i="41" s="1"/>
  <c r="L180" i="41" a="1"/>
  <c r="L180" i="41" s="1"/>
  <c r="L181" i="41" a="1"/>
  <c r="L181" i="41" s="1"/>
  <c r="L182" i="41" a="1"/>
  <c r="L182" i="41" s="1"/>
  <c r="L183" i="41" a="1"/>
  <c r="L183" i="41" s="1"/>
  <c r="L184" i="41" a="1"/>
  <c r="L184" i="41" s="1"/>
  <c r="L185" i="41" a="1"/>
  <c r="L185" i="41" s="1"/>
  <c r="L186" i="41" a="1"/>
  <c r="L186" i="41" s="1"/>
  <c r="L187" i="41" a="1"/>
  <c r="L187" i="41" s="1"/>
  <c r="L188" i="41" a="1"/>
  <c r="L188" i="41" s="1"/>
  <c r="L189" i="41" a="1"/>
  <c r="L189" i="41" s="1"/>
  <c r="L190" i="41" a="1"/>
  <c r="L190" i="41" s="1"/>
  <c r="L191" i="41" a="1"/>
  <c r="L191" i="41" s="1"/>
  <c r="L192" i="41" a="1"/>
  <c r="L192" i="41" s="1"/>
  <c r="L193" i="41" a="1"/>
  <c r="L193" i="41" s="1"/>
  <c r="L194" i="41" a="1"/>
  <c r="L194" i="41" s="1"/>
  <c r="L195" i="41" a="1"/>
  <c r="L195" i="41" s="1"/>
  <c r="L196" i="41" a="1"/>
  <c r="L196" i="41" s="1"/>
  <c r="L197" i="41" a="1"/>
  <c r="L197" i="41" s="1"/>
  <c r="L198" i="41" a="1"/>
  <c r="L198" i="41" s="1"/>
  <c r="L199" i="41" a="1"/>
  <c r="L199" i="41" s="1"/>
  <c r="L200" i="41" a="1"/>
  <c r="L200" i="41" s="1"/>
  <c r="L201" i="41" a="1"/>
  <c r="L201" i="41" s="1"/>
  <c r="L202" i="41" a="1"/>
  <c r="L202" i="41" s="1"/>
  <c r="L203" i="41" a="1"/>
  <c r="L203" i="41" s="1"/>
  <c r="L204" i="41" a="1"/>
  <c r="L204" i="41" s="1"/>
  <c r="L12" i="41" a="1"/>
  <c r="L12" i="41" s="1"/>
  <c r="Q105" i="39" l="1"/>
  <c r="M105" i="39" s="1"/>
  <c r="Q122" i="39"/>
  <c r="M122" i="39" s="1"/>
  <c r="Q118" i="39"/>
  <c r="M118" i="39" s="1"/>
  <c r="Q155" i="39"/>
  <c r="M155" i="39" s="1"/>
  <c r="Q134" i="39"/>
  <c r="O134" i="39" s="1"/>
  <c r="Q128" i="39"/>
  <c r="O128" i="39" s="1"/>
  <c r="Q167" i="39"/>
  <c r="O167" i="39" s="1"/>
  <c r="Q146" i="39"/>
  <c r="M146" i="39" s="1"/>
  <c r="Q140" i="39"/>
  <c r="O140" i="39" s="1"/>
  <c r="Q66" i="39"/>
  <c r="M66" i="39" s="1"/>
  <c r="Q35" i="39"/>
  <c r="M35" i="39" s="1"/>
  <c r="Q158" i="39"/>
  <c r="O158" i="39" s="1"/>
  <c r="Q137" i="39"/>
  <c r="M137" i="39" s="1"/>
  <c r="Q152" i="39"/>
  <c r="M152" i="39" s="1"/>
  <c r="Q153" i="39"/>
  <c r="M153" i="39" s="1"/>
  <c r="Q154" i="39"/>
  <c r="O154" i="39" s="1"/>
  <c r="Q114" i="39"/>
  <c r="M114" i="39" s="1"/>
  <c r="Q136" i="39"/>
  <c r="M136" i="39" s="1"/>
  <c r="Q76" i="39"/>
  <c r="M76" i="39" s="1"/>
  <c r="Q110" i="39"/>
  <c r="M110" i="39" s="1"/>
  <c r="Q89" i="39"/>
  <c r="M89" i="39" s="1"/>
  <c r="Q106" i="39"/>
  <c r="O106" i="39" s="1"/>
  <c r="Q132" i="39"/>
  <c r="O132" i="39" s="1"/>
  <c r="Q75" i="39"/>
  <c r="M75" i="39" s="1"/>
  <c r="Q116" i="39"/>
  <c r="M116" i="39" s="1"/>
  <c r="Q150" i="39"/>
  <c r="O150" i="39" s="1"/>
  <c r="Q40" i="39"/>
  <c r="O40" i="39" s="1"/>
  <c r="Q144" i="39"/>
  <c r="M144" i="39" s="1"/>
  <c r="Q145" i="39"/>
  <c r="M145" i="39" s="1"/>
  <c r="Q87" i="39"/>
  <c r="O87" i="39" s="1"/>
  <c r="Q113" i="39"/>
  <c r="M113" i="39" s="1"/>
  <c r="Q129" i="39"/>
  <c r="M129" i="39" s="1"/>
  <c r="Q130" i="39"/>
  <c r="O130" i="39" s="1"/>
  <c r="Q88" i="39"/>
  <c r="M88" i="39" s="1"/>
  <c r="Q64" i="39"/>
  <c r="M64" i="39" s="1"/>
  <c r="Q156" i="39"/>
  <c r="M156" i="39" s="1"/>
  <c r="Q157" i="39"/>
  <c r="M157" i="39" s="1"/>
  <c r="Q99" i="39"/>
  <c r="O99" i="39" s="1"/>
  <c r="Q125" i="39"/>
  <c r="M125" i="39" s="1"/>
  <c r="Q141" i="39"/>
  <c r="M141" i="39" s="1"/>
  <c r="Q142" i="39"/>
  <c r="M142" i="39" s="1"/>
  <c r="Q42" i="39"/>
  <c r="M42" i="39" s="1"/>
  <c r="Q168" i="39"/>
  <c r="O168" i="39" s="1"/>
  <c r="Q111" i="39"/>
  <c r="M111" i="39" s="1"/>
  <c r="Q36" i="39"/>
  <c r="M36" i="39" s="1"/>
  <c r="Q123" i="39"/>
  <c r="O123" i="39" s="1"/>
  <c r="Q149" i="39"/>
  <c r="M149" i="39" s="1"/>
  <c r="Q164" i="39"/>
  <c r="O164" i="39" s="1"/>
  <c r="Q165" i="39"/>
  <c r="M165" i="39" s="1"/>
  <c r="Q166" i="39"/>
  <c r="M166" i="39" s="1"/>
  <c r="Q162" i="39"/>
  <c r="M162" i="39" s="1"/>
  <c r="Q43" i="39"/>
  <c r="M43" i="39" s="1"/>
  <c r="Q90" i="39"/>
  <c r="O90" i="39" s="1"/>
  <c r="Q47" i="39"/>
  <c r="O47" i="39" s="1"/>
  <c r="Q59" i="39"/>
  <c r="M59" i="39" s="1"/>
  <c r="Q48" i="39"/>
  <c r="O48" i="39" s="1"/>
  <c r="Q49" i="39"/>
  <c r="M49" i="39" s="1"/>
  <c r="Q38" i="39"/>
  <c r="M38" i="39" s="1"/>
  <c r="Q147" i="39"/>
  <c r="M147" i="39" s="1"/>
  <c r="Q161" i="39"/>
  <c r="O161" i="39" s="1"/>
  <c r="Q67" i="39"/>
  <c r="M67" i="39" s="1"/>
  <c r="Q138" i="39"/>
  <c r="O138" i="39" s="1"/>
  <c r="Q91" i="39"/>
  <c r="M91" i="39" s="1"/>
  <c r="Q115" i="39"/>
  <c r="O115" i="39" s="1"/>
  <c r="Q55" i="39"/>
  <c r="M55" i="39" s="1"/>
  <c r="Q112" i="39"/>
  <c r="M112" i="39" s="1"/>
  <c r="Q120" i="39"/>
  <c r="M120" i="39" s="1"/>
  <c r="Q63" i="39"/>
  <c r="O63" i="39" s="1"/>
  <c r="Q104" i="39"/>
  <c r="M104" i="39" s="1"/>
  <c r="Q102" i="39"/>
  <c r="M102" i="39" s="1"/>
  <c r="Q143" i="39"/>
  <c r="O143" i="39" s="1"/>
  <c r="Q133" i="39"/>
  <c r="M133" i="39" s="1"/>
  <c r="Q101" i="39"/>
  <c r="M101" i="39" s="1"/>
  <c r="Q117" i="39"/>
  <c r="M117" i="39" s="1"/>
  <c r="Q71" i="39"/>
  <c r="M71" i="39" s="1"/>
  <c r="Q60" i="39"/>
  <c r="M60" i="39" s="1"/>
  <c r="Q61" i="39"/>
  <c r="M61" i="39" s="1"/>
  <c r="Q50" i="39"/>
  <c r="M50" i="39" s="1"/>
  <c r="Q135" i="39"/>
  <c r="O135" i="39" s="1"/>
  <c r="Q159" i="39"/>
  <c r="M159" i="39" s="1"/>
  <c r="Q44" i="39"/>
  <c r="O44" i="39" s="1"/>
  <c r="Q45" i="39"/>
  <c r="M45" i="39" s="1"/>
  <c r="Q46" i="39"/>
  <c r="M46" i="39" s="1"/>
  <c r="Q83" i="39"/>
  <c r="M83" i="39" s="1"/>
  <c r="Q72" i="39"/>
  <c r="O72" i="39" s="1"/>
  <c r="Q73" i="39"/>
  <c r="M73" i="39" s="1"/>
  <c r="Q62" i="39"/>
  <c r="M62" i="39" s="1"/>
  <c r="Q41" i="39"/>
  <c r="M41" i="39" s="1"/>
  <c r="Q56" i="39"/>
  <c r="M56" i="39" s="1"/>
  <c r="Q57" i="39"/>
  <c r="M57" i="39" s="1"/>
  <c r="Q58" i="39"/>
  <c r="O58" i="39" s="1"/>
  <c r="Q100" i="39"/>
  <c r="M100" i="39" s="1"/>
  <c r="Q163" i="39"/>
  <c r="M163" i="39" s="1"/>
  <c r="Q139" i="39"/>
  <c r="M139" i="39" s="1"/>
  <c r="Q124" i="39"/>
  <c r="O124" i="39" s="1"/>
  <c r="N33" i="32"/>
  <c r="M52" i="39"/>
  <c r="O52" i="39"/>
  <c r="M34" i="39"/>
  <c r="O34" i="39"/>
  <c r="M78" i="39"/>
  <c r="O78" i="39"/>
  <c r="M79" i="39"/>
  <c r="O79" i="39"/>
  <c r="M84" i="39"/>
  <c r="O84" i="39"/>
  <c r="M85" i="39"/>
  <c r="O85" i="39"/>
  <c r="M74" i="39"/>
  <c r="O74" i="39"/>
  <c r="M37" i="39"/>
  <c r="O37" i="39"/>
  <c r="M53" i="39"/>
  <c r="O53" i="39"/>
  <c r="M68" i="39"/>
  <c r="O68" i="39"/>
  <c r="M69" i="39"/>
  <c r="O69" i="39"/>
  <c r="M70" i="39"/>
  <c r="O70" i="39"/>
  <c r="M148" i="39"/>
  <c r="O148" i="39"/>
  <c r="M160" i="39"/>
  <c r="O160" i="39"/>
  <c r="M127" i="39"/>
  <c r="O127" i="39"/>
  <c r="M103" i="39"/>
  <c r="O103" i="39"/>
  <c r="M95" i="39"/>
  <c r="O95" i="39"/>
  <c r="M96" i="39"/>
  <c r="O96" i="39"/>
  <c r="M97" i="39"/>
  <c r="O97" i="39"/>
  <c r="M86" i="39"/>
  <c r="O86" i="39"/>
  <c r="M39" i="39"/>
  <c r="O39" i="39"/>
  <c r="M65" i="39"/>
  <c r="O65" i="39"/>
  <c r="M80" i="39"/>
  <c r="O80" i="39"/>
  <c r="M81" i="39"/>
  <c r="O81" i="39"/>
  <c r="M82" i="39"/>
  <c r="O82" i="39"/>
  <c r="M126" i="39"/>
  <c r="O126" i="39"/>
  <c r="M107" i="39"/>
  <c r="O107" i="39"/>
  <c r="M119" i="39"/>
  <c r="O119" i="39"/>
  <c r="M108" i="39"/>
  <c r="O108" i="39"/>
  <c r="M109" i="39"/>
  <c r="O109" i="39"/>
  <c r="M98" i="39"/>
  <c r="O98" i="39"/>
  <c r="M51" i="39"/>
  <c r="O51" i="39"/>
  <c r="M77" i="39"/>
  <c r="O77" i="39"/>
  <c r="M92" i="39"/>
  <c r="O92" i="39"/>
  <c r="M93" i="39"/>
  <c r="O93" i="39"/>
  <c r="M94" i="39"/>
  <c r="O94" i="39"/>
  <c r="M54" i="39"/>
  <c r="O54" i="39"/>
  <c r="M131" i="39"/>
  <c r="O131" i="39"/>
  <c r="M121" i="39"/>
  <c r="O121" i="39"/>
  <c r="M151" i="39"/>
  <c r="O151" i="39"/>
  <c r="Q46" i="32"/>
  <c r="Q58" i="32"/>
  <c r="Q70" i="32"/>
  <c r="Q82" i="32"/>
  <c r="Q94" i="32"/>
  <c r="Q106" i="32"/>
  <c r="Q118" i="32"/>
  <c r="Q130" i="32"/>
  <c r="Q142" i="32"/>
  <c r="Q154" i="32"/>
  <c r="Q166" i="32"/>
  <c r="Q36" i="32"/>
  <c r="Q60" i="32"/>
  <c r="Q72" i="32"/>
  <c r="Q84" i="32"/>
  <c r="Q96" i="32"/>
  <c r="Q108" i="32"/>
  <c r="Q120" i="32"/>
  <c r="Q132" i="32"/>
  <c r="Q144" i="32"/>
  <c r="Q156" i="32"/>
  <c r="Q168" i="32"/>
  <c r="Q35" i="32"/>
  <c r="Q47" i="32"/>
  <c r="Q59" i="32"/>
  <c r="Q71" i="32"/>
  <c r="Q83" i="32"/>
  <c r="Q95" i="32"/>
  <c r="Q107" i="32"/>
  <c r="Q119" i="32"/>
  <c r="Q131" i="32"/>
  <c r="Q143" i="32"/>
  <c r="Q155" i="32"/>
  <c r="Q167" i="32"/>
  <c r="Q48" i="32"/>
  <c r="Q38" i="32"/>
  <c r="Q50" i="32"/>
  <c r="Q62" i="32"/>
  <c r="Q74" i="32"/>
  <c r="Q86" i="32"/>
  <c r="Q98" i="32"/>
  <c r="Q110" i="32"/>
  <c r="Q122" i="32"/>
  <c r="Q134" i="32"/>
  <c r="Q146" i="32"/>
  <c r="Q158" i="32"/>
  <c r="Q39" i="32"/>
  <c r="Q51" i="32"/>
  <c r="Q63" i="32"/>
  <c r="Q75" i="32"/>
  <c r="Q87" i="32"/>
  <c r="Q99" i="32"/>
  <c r="Q111" i="32"/>
  <c r="Q123" i="32"/>
  <c r="Q135" i="32"/>
  <c r="Q147" i="32"/>
  <c r="Q159" i="32"/>
  <c r="Q40" i="32"/>
  <c r="Q52" i="32"/>
  <c r="Q64" i="32"/>
  <c r="Q76" i="32"/>
  <c r="Q88" i="32"/>
  <c r="Q41" i="32"/>
  <c r="Q43" i="32"/>
  <c r="Q55" i="32"/>
  <c r="Q67" i="32"/>
  <c r="Q79" i="32"/>
  <c r="Q91" i="32"/>
  <c r="Q103" i="32"/>
  <c r="Q115" i="32"/>
  <c r="Q127" i="32"/>
  <c r="Q139" i="32"/>
  <c r="Q151" i="32"/>
  <c r="Q163" i="32"/>
  <c r="Q44" i="32"/>
  <c r="Q56" i="32"/>
  <c r="Q68" i="32"/>
  <c r="Q80" i="32"/>
  <c r="Q92" i="32"/>
  <c r="Q104" i="32"/>
  <c r="Q116" i="32"/>
  <c r="Q128" i="32"/>
  <c r="Q140" i="32"/>
  <c r="Q152" i="32"/>
  <c r="Q164" i="32"/>
  <c r="Q34" i="32"/>
  <c r="Q37" i="32"/>
  <c r="Q77" i="32"/>
  <c r="Q109" i="32"/>
  <c r="Q137" i="32"/>
  <c r="Q165" i="32"/>
  <c r="Q42" i="32"/>
  <c r="Q78" i="32"/>
  <c r="Q112" i="32"/>
  <c r="Q138" i="32"/>
  <c r="Q45" i="32"/>
  <c r="Q81" i="32"/>
  <c r="Q113" i="32"/>
  <c r="Q141" i="32"/>
  <c r="Q49" i="32"/>
  <c r="Q85" i="32"/>
  <c r="Q114" i="32"/>
  <c r="Q145" i="32"/>
  <c r="Q53" i="32"/>
  <c r="Q89" i="32"/>
  <c r="Q117" i="32"/>
  <c r="Q148" i="32"/>
  <c r="Q54" i="32"/>
  <c r="Q90" i="32"/>
  <c r="Q121" i="32"/>
  <c r="Q149" i="32"/>
  <c r="Q57" i="32"/>
  <c r="Q93" i="32"/>
  <c r="Q124" i="32"/>
  <c r="Q150" i="32"/>
  <c r="Q61" i="32"/>
  <c r="Q97" i="32"/>
  <c r="Q125" i="32"/>
  <c r="Q153" i="32"/>
  <c r="Q65" i="32"/>
  <c r="Q100" i="32"/>
  <c r="Q126" i="32"/>
  <c r="Q157" i="32"/>
  <c r="Q66" i="32"/>
  <c r="Q101" i="32"/>
  <c r="Q129" i="32"/>
  <c r="Q160" i="32"/>
  <c r="Q69" i="32"/>
  <c r="Q102" i="32"/>
  <c r="Q133" i="32"/>
  <c r="Q161" i="32"/>
  <c r="Q73" i="32"/>
  <c r="Q105" i="32"/>
  <c r="Q136" i="32"/>
  <c r="Q162" i="32"/>
  <c r="N197" i="41"/>
  <c r="N185" i="41"/>
  <c r="N173" i="41"/>
  <c r="N161" i="41"/>
  <c r="N149" i="41"/>
  <c r="N137" i="41"/>
  <c r="N125" i="41"/>
  <c r="N113" i="41"/>
  <c r="N101" i="41"/>
  <c r="N89" i="41"/>
  <c r="N77" i="41"/>
  <c r="N65" i="41"/>
  <c r="N53" i="41"/>
  <c r="N41" i="41"/>
  <c r="N29" i="41"/>
  <c r="N17" i="41"/>
  <c r="N203" i="41"/>
  <c r="N155" i="41"/>
  <c r="N107" i="41"/>
  <c r="N83" i="41"/>
  <c r="N59" i="41"/>
  <c r="N167" i="41"/>
  <c r="N119" i="41"/>
  <c r="N95" i="41"/>
  <c r="N47" i="41"/>
  <c r="N191" i="41"/>
  <c r="N143" i="41"/>
  <c r="N35" i="41"/>
  <c r="N12" i="41"/>
  <c r="N179" i="41"/>
  <c r="N131" i="41"/>
  <c r="N71" i="41"/>
  <c r="N23" i="41"/>
  <c r="N128" i="41"/>
  <c r="N160" i="41"/>
  <c r="N171" i="41"/>
  <c r="N123" i="41"/>
  <c r="N75" i="41"/>
  <c r="N27" i="41"/>
  <c r="N158" i="41"/>
  <c r="N110" i="41"/>
  <c r="N74" i="41"/>
  <c r="N26" i="41"/>
  <c r="N181" i="41"/>
  <c r="N145" i="41"/>
  <c r="N109" i="41"/>
  <c r="N73" i="41"/>
  <c r="N37" i="41"/>
  <c r="N196" i="41"/>
  <c r="N148" i="41"/>
  <c r="N195" i="41"/>
  <c r="N147" i="41"/>
  <c r="N87" i="41"/>
  <c r="N51" i="41"/>
  <c r="N182" i="41"/>
  <c r="N146" i="41"/>
  <c r="N98" i="41"/>
  <c r="N62" i="41"/>
  <c r="N14" i="41"/>
  <c r="N193" i="41"/>
  <c r="N157" i="41"/>
  <c r="N133" i="41"/>
  <c r="N97" i="41"/>
  <c r="N49" i="41"/>
  <c r="N25" i="41"/>
  <c r="N172" i="41"/>
  <c r="N124" i="41"/>
  <c r="N183" i="41"/>
  <c r="N135" i="41"/>
  <c r="N111" i="41"/>
  <c r="N63" i="41"/>
  <c r="N15" i="41"/>
  <c r="N170" i="41"/>
  <c r="N122" i="41"/>
  <c r="N86" i="41"/>
  <c r="N38" i="41"/>
  <c r="N169" i="41"/>
  <c r="N121" i="41"/>
  <c r="N85" i="41"/>
  <c r="N61" i="41"/>
  <c r="N13" i="41"/>
  <c r="N136" i="41"/>
  <c r="N159" i="41"/>
  <c r="N99" i="41"/>
  <c r="N39" i="41"/>
  <c r="N194" i="41"/>
  <c r="N134" i="41"/>
  <c r="N50" i="41"/>
  <c r="N184" i="41"/>
  <c r="N198" i="41"/>
  <c r="N186" i="41"/>
  <c r="N174" i="41"/>
  <c r="N162" i="41"/>
  <c r="N150" i="41"/>
  <c r="N138" i="41"/>
  <c r="N126" i="41"/>
  <c r="N114" i="41"/>
  <c r="N102" i="41"/>
  <c r="N90" i="41"/>
  <c r="N78" i="41"/>
  <c r="N66" i="41"/>
  <c r="N54" i="41"/>
  <c r="N42" i="41"/>
  <c r="N30" i="41"/>
  <c r="N18" i="41"/>
  <c r="N57" i="41"/>
  <c r="N80" i="41"/>
  <c r="N189" i="41"/>
  <c r="N153" i="41"/>
  <c r="N105" i="41"/>
  <c r="N21" i="41"/>
  <c r="N176" i="41"/>
  <c r="N92" i="41"/>
  <c r="N20" i="41"/>
  <c r="N204" i="41"/>
  <c r="N141" i="41"/>
  <c r="N199" i="41"/>
  <c r="N187" i="41"/>
  <c r="N175" i="41"/>
  <c r="N163" i="41"/>
  <c r="N151" i="41"/>
  <c r="N139" i="41"/>
  <c r="N127" i="41"/>
  <c r="N115" i="41"/>
  <c r="N103" i="41"/>
  <c r="N91" i="41"/>
  <c r="N79" i="41"/>
  <c r="N67" i="41"/>
  <c r="N55" i="41"/>
  <c r="N43" i="41"/>
  <c r="N31" i="41"/>
  <c r="N19" i="41"/>
  <c r="N177" i="41"/>
  <c r="N81" i="41"/>
  <c r="N152" i="41"/>
  <c r="N129" i="41"/>
  <c r="N69" i="41"/>
  <c r="N164" i="41"/>
  <c r="N56" i="41"/>
  <c r="N165" i="41"/>
  <c r="N93" i="41"/>
  <c r="N140" i="41"/>
  <c r="N68" i="41"/>
  <c r="N112" i="41"/>
  <c r="N100" i="41"/>
  <c r="N88" i="41"/>
  <c r="N76" i="41"/>
  <c r="N64" i="41"/>
  <c r="N52" i="41"/>
  <c r="N40" i="41"/>
  <c r="N28" i="41"/>
  <c r="N16" i="41"/>
  <c r="N201" i="41"/>
  <c r="N117" i="41"/>
  <c r="N33" i="41"/>
  <c r="N188" i="41"/>
  <c r="N104" i="41"/>
  <c r="N32" i="41"/>
  <c r="N45" i="41"/>
  <c r="N200" i="41"/>
  <c r="N116" i="41"/>
  <c r="N44" i="41"/>
  <c r="N202" i="41"/>
  <c r="N190" i="41"/>
  <c r="N178" i="41"/>
  <c r="N166" i="41"/>
  <c r="N154" i="41"/>
  <c r="N142" i="41"/>
  <c r="N130" i="41"/>
  <c r="N118" i="41"/>
  <c r="N106" i="41"/>
  <c r="N94" i="41"/>
  <c r="N82" i="41"/>
  <c r="N70" i="41"/>
  <c r="N58" i="41"/>
  <c r="N46" i="41"/>
  <c r="N34" i="41"/>
  <c r="N22" i="41"/>
  <c r="N192" i="41"/>
  <c r="N180" i="41"/>
  <c r="N168" i="41"/>
  <c r="N156" i="41"/>
  <c r="N144" i="41"/>
  <c r="N132" i="41"/>
  <c r="N120" i="41"/>
  <c r="N108" i="41"/>
  <c r="N96" i="41"/>
  <c r="N84" i="41"/>
  <c r="N72" i="41"/>
  <c r="N60" i="41"/>
  <c r="N48" i="41"/>
  <c r="N36" i="41"/>
  <c r="N24" i="41"/>
  <c r="C174" i="30"/>
  <c r="D174" i="30"/>
  <c r="E174" i="30"/>
  <c r="C180" i="30"/>
  <c r="D180" i="30"/>
  <c r="E180" i="30"/>
  <c r="C189" i="30"/>
  <c r="D189" i="30"/>
  <c r="E189" i="30"/>
  <c r="C197" i="30"/>
  <c r="D197" i="30"/>
  <c r="E197" i="30"/>
  <c r="C202" i="30"/>
  <c r="D202" i="30"/>
  <c r="E202" i="30"/>
  <c r="D23" i="30"/>
  <c r="C104" i="30"/>
  <c r="D104" i="30"/>
  <c r="E104" i="30"/>
  <c r="C109" i="30"/>
  <c r="D109" i="30"/>
  <c r="E109" i="30"/>
  <c r="C115" i="30"/>
  <c r="D115" i="30"/>
  <c r="E115" i="30"/>
  <c r="C120" i="30"/>
  <c r="D120" i="30"/>
  <c r="E120" i="30"/>
  <c r="C123" i="30"/>
  <c r="D123" i="30"/>
  <c r="E123" i="30"/>
  <c r="C128" i="30"/>
  <c r="D128" i="30"/>
  <c r="E128" i="30"/>
  <c r="C131" i="30"/>
  <c r="D131" i="30"/>
  <c r="E131" i="30"/>
  <c r="C152" i="30"/>
  <c r="D152" i="30"/>
  <c r="E152" i="30"/>
  <c r="M99" i="39" l="1"/>
  <c r="O157" i="39"/>
  <c r="M143" i="39"/>
  <c r="M90" i="39"/>
  <c r="O139" i="39"/>
  <c r="M158" i="39"/>
  <c r="O111" i="39"/>
  <c r="M124" i="39"/>
  <c r="M130" i="39"/>
  <c r="O118" i="39"/>
  <c r="O46" i="39"/>
  <c r="O88" i="39"/>
  <c r="O67" i="39"/>
  <c r="O122" i="39"/>
  <c r="M132" i="39"/>
  <c r="O73" i="39"/>
  <c r="M87" i="39"/>
  <c r="M134" i="39"/>
  <c r="M115" i="39"/>
  <c r="O71" i="39"/>
  <c r="M150" i="39"/>
  <c r="M154" i="39"/>
  <c r="O136" i="39"/>
  <c r="O137" i="39"/>
  <c r="M128" i="39"/>
  <c r="M47" i="39"/>
  <c r="O152" i="39"/>
  <c r="O112" i="39"/>
  <c r="O101" i="39"/>
  <c r="O62" i="39"/>
  <c r="M123" i="39"/>
  <c r="O83" i="39"/>
  <c r="O36" i="39"/>
  <c r="M72" i="39"/>
  <c r="O146" i="39"/>
  <c r="O49" i="39"/>
  <c r="M40" i="39"/>
  <c r="O60" i="39"/>
  <c r="O114" i="39"/>
  <c r="M48" i="39"/>
  <c r="O156" i="39"/>
  <c r="O55" i="39"/>
  <c r="O61" i="39"/>
  <c r="M138" i="39"/>
  <c r="O117" i="39"/>
  <c r="M44" i="39"/>
  <c r="O166" i="39"/>
  <c r="O162" i="39"/>
  <c r="O165" i="39"/>
  <c r="O155" i="39"/>
  <c r="O75" i="39"/>
  <c r="O104" i="39"/>
  <c r="O159" i="39"/>
  <c r="O42" i="39"/>
  <c r="O59" i="39"/>
  <c r="O89" i="39"/>
  <c r="O64" i="39"/>
  <c r="O145" i="39"/>
  <c r="O66" i="39"/>
  <c r="O142" i="39"/>
  <c r="M63" i="39"/>
  <c r="M58" i="39"/>
  <c r="M135" i="39"/>
  <c r="M164" i="39"/>
  <c r="O129" i="39"/>
  <c r="O144" i="39"/>
  <c r="O133" i="39"/>
  <c r="O102" i="39"/>
  <c r="O110" i="39"/>
  <c r="O57" i="39"/>
  <c r="O50" i="39"/>
  <c r="O163" i="39"/>
  <c r="O147" i="39"/>
  <c r="O149" i="39"/>
  <c r="O141" i="39"/>
  <c r="M161" i="39"/>
  <c r="O100" i="39"/>
  <c r="O56" i="39"/>
  <c r="M106" i="39"/>
  <c r="M167" i="39"/>
  <c r="M168" i="39"/>
  <c r="M140" i="39"/>
  <c r="O116" i="39"/>
  <c r="O105" i="39"/>
  <c r="O120" i="39"/>
  <c r="O41" i="39"/>
  <c r="O91" i="39"/>
  <c r="O45" i="39"/>
  <c r="O38" i="39"/>
  <c r="O76" i="39"/>
  <c r="O35" i="39"/>
  <c r="O153" i="39"/>
  <c r="O43" i="39"/>
  <c r="O125" i="39"/>
  <c r="O113" i="39"/>
  <c r="M129" i="32"/>
  <c r="O129" i="32"/>
  <c r="O61" i="32"/>
  <c r="M61" i="32"/>
  <c r="M148" i="32"/>
  <c r="O148" i="32"/>
  <c r="O81" i="32"/>
  <c r="M81" i="32"/>
  <c r="M34" i="32"/>
  <c r="O34" i="32"/>
  <c r="O44" i="32"/>
  <c r="M44" i="32"/>
  <c r="O55" i="32"/>
  <c r="M55" i="32"/>
  <c r="O135" i="32"/>
  <c r="M135" i="32"/>
  <c r="M146" i="32"/>
  <c r="O146" i="32"/>
  <c r="M167" i="32"/>
  <c r="O167" i="32"/>
  <c r="M90" i="32"/>
  <c r="O90" i="32"/>
  <c r="M101" i="32"/>
  <c r="O101" i="32"/>
  <c r="M117" i="32"/>
  <c r="O117" i="32"/>
  <c r="M45" i="32"/>
  <c r="O45" i="32"/>
  <c r="O43" i="32"/>
  <c r="M43" i="32"/>
  <c r="O123" i="32"/>
  <c r="M123" i="32"/>
  <c r="M134" i="32"/>
  <c r="O134" i="32"/>
  <c r="M155" i="32"/>
  <c r="O155" i="32"/>
  <c r="M168" i="32"/>
  <c r="O168" i="32"/>
  <c r="O166" i="32"/>
  <c r="M166" i="32"/>
  <c r="M69" i="32"/>
  <c r="O69" i="32"/>
  <c r="M162" i="32"/>
  <c r="O162" i="32"/>
  <c r="M66" i="32"/>
  <c r="O66" i="32"/>
  <c r="O150" i="32"/>
  <c r="M150" i="32"/>
  <c r="O89" i="32"/>
  <c r="M89" i="32"/>
  <c r="M164" i="32"/>
  <c r="O164" i="32"/>
  <c r="O41" i="32"/>
  <c r="M41" i="32"/>
  <c r="O111" i="32"/>
  <c r="M111" i="32"/>
  <c r="M122" i="32"/>
  <c r="O122" i="32"/>
  <c r="O143" i="32"/>
  <c r="M143" i="32"/>
  <c r="M156" i="32"/>
  <c r="O156" i="32"/>
  <c r="M154" i="32"/>
  <c r="O154" i="32"/>
  <c r="M136" i="32"/>
  <c r="O136" i="32"/>
  <c r="M124" i="32"/>
  <c r="O124" i="32"/>
  <c r="O53" i="32"/>
  <c r="M53" i="32"/>
  <c r="M138" i="32"/>
  <c r="O138" i="32"/>
  <c r="M152" i="32"/>
  <c r="O152" i="32"/>
  <c r="M163" i="32"/>
  <c r="O163" i="32"/>
  <c r="M88" i="32"/>
  <c r="O88" i="32"/>
  <c r="O99" i="32"/>
  <c r="M99" i="32"/>
  <c r="O110" i="32"/>
  <c r="M110" i="32"/>
  <c r="O131" i="32"/>
  <c r="M131" i="32"/>
  <c r="M144" i="32"/>
  <c r="O144" i="32"/>
  <c r="O142" i="32"/>
  <c r="M142" i="32"/>
  <c r="M105" i="32"/>
  <c r="O105" i="32"/>
  <c r="M157" i="32"/>
  <c r="O157" i="32"/>
  <c r="M93" i="32"/>
  <c r="O93" i="32"/>
  <c r="M112" i="32"/>
  <c r="O112" i="32"/>
  <c r="M140" i="32"/>
  <c r="O140" i="32"/>
  <c r="O151" i="32"/>
  <c r="M151" i="32"/>
  <c r="M76" i="32"/>
  <c r="O76" i="32"/>
  <c r="O87" i="32"/>
  <c r="M87" i="32"/>
  <c r="M98" i="32"/>
  <c r="O98" i="32"/>
  <c r="O119" i="32"/>
  <c r="M119" i="32"/>
  <c r="M132" i="32"/>
  <c r="O132" i="32"/>
  <c r="M130" i="32"/>
  <c r="O130" i="32"/>
  <c r="O73" i="32"/>
  <c r="M73" i="32"/>
  <c r="O126" i="32"/>
  <c r="M126" i="32"/>
  <c r="O57" i="32"/>
  <c r="M57" i="32"/>
  <c r="M145" i="32"/>
  <c r="O145" i="32"/>
  <c r="M78" i="32"/>
  <c r="O78" i="32"/>
  <c r="M128" i="32"/>
  <c r="O128" i="32"/>
  <c r="M139" i="32"/>
  <c r="O139" i="32"/>
  <c r="O64" i="32"/>
  <c r="M64" i="32"/>
  <c r="O75" i="32"/>
  <c r="M75" i="32"/>
  <c r="O86" i="32"/>
  <c r="M86" i="32"/>
  <c r="M107" i="32"/>
  <c r="O107" i="32"/>
  <c r="M120" i="32"/>
  <c r="O120" i="32"/>
  <c r="O118" i="32"/>
  <c r="M118" i="32"/>
  <c r="M161" i="32"/>
  <c r="O161" i="32"/>
  <c r="M100" i="32"/>
  <c r="O100" i="32"/>
  <c r="M114" i="32"/>
  <c r="O114" i="32"/>
  <c r="M42" i="32"/>
  <c r="O42" i="32"/>
  <c r="M116" i="32"/>
  <c r="O116" i="32"/>
  <c r="O127" i="32"/>
  <c r="M127" i="32"/>
  <c r="M52" i="32"/>
  <c r="O52" i="32"/>
  <c r="O63" i="32"/>
  <c r="M63" i="32"/>
  <c r="O74" i="32"/>
  <c r="M74" i="32"/>
  <c r="M95" i="32"/>
  <c r="O95" i="32"/>
  <c r="M108" i="32"/>
  <c r="O108" i="32"/>
  <c r="M106" i="32"/>
  <c r="O106" i="32"/>
  <c r="M133" i="32"/>
  <c r="O133" i="32"/>
  <c r="O65" i="32"/>
  <c r="M65" i="32"/>
  <c r="M149" i="32"/>
  <c r="O149" i="32"/>
  <c r="M85" i="32"/>
  <c r="O85" i="32"/>
  <c r="M165" i="32"/>
  <c r="O165" i="32"/>
  <c r="M104" i="32"/>
  <c r="O104" i="32"/>
  <c r="O115" i="32"/>
  <c r="M115" i="32"/>
  <c r="O40" i="32"/>
  <c r="M40" i="32"/>
  <c r="O51" i="32"/>
  <c r="M51" i="32"/>
  <c r="M62" i="32"/>
  <c r="O62" i="32"/>
  <c r="O83" i="32"/>
  <c r="M83" i="32"/>
  <c r="M96" i="32"/>
  <c r="O96" i="32"/>
  <c r="O94" i="32"/>
  <c r="M94" i="32"/>
  <c r="O102" i="32"/>
  <c r="M102" i="32"/>
  <c r="M121" i="32"/>
  <c r="O121" i="32"/>
  <c r="M49" i="32"/>
  <c r="O49" i="32"/>
  <c r="M137" i="32"/>
  <c r="O137" i="32"/>
  <c r="M92" i="32"/>
  <c r="O92" i="32"/>
  <c r="O103" i="32"/>
  <c r="M103" i="32"/>
  <c r="M39" i="32"/>
  <c r="O39" i="32"/>
  <c r="M50" i="32"/>
  <c r="O50" i="32"/>
  <c r="M71" i="32"/>
  <c r="O71" i="32"/>
  <c r="O84" i="32"/>
  <c r="M84" i="32"/>
  <c r="M82" i="32"/>
  <c r="O82" i="32"/>
  <c r="M109" i="32"/>
  <c r="O109" i="32"/>
  <c r="M80" i="32"/>
  <c r="O80" i="32"/>
  <c r="O91" i="32"/>
  <c r="M91" i="32"/>
  <c r="M38" i="32"/>
  <c r="O38" i="32"/>
  <c r="M59" i="32"/>
  <c r="O59" i="32"/>
  <c r="M72" i="32"/>
  <c r="O72" i="32"/>
  <c r="M70" i="32"/>
  <c r="O70" i="32"/>
  <c r="M125" i="32"/>
  <c r="O125" i="32"/>
  <c r="M54" i="32"/>
  <c r="O54" i="32"/>
  <c r="M141" i="32"/>
  <c r="O141" i="32"/>
  <c r="O77" i="32"/>
  <c r="M77" i="32"/>
  <c r="O68" i="32"/>
  <c r="M68" i="32"/>
  <c r="O79" i="32"/>
  <c r="M79" i="32"/>
  <c r="M159" i="32"/>
  <c r="O159" i="32"/>
  <c r="M48" i="32"/>
  <c r="O48" i="32"/>
  <c r="O47" i="32"/>
  <c r="M47" i="32"/>
  <c r="O60" i="32"/>
  <c r="M60" i="32"/>
  <c r="M58" i="32"/>
  <c r="O58" i="32"/>
  <c r="M153" i="32"/>
  <c r="O153" i="32"/>
  <c r="M160" i="32"/>
  <c r="O160" i="32"/>
  <c r="M97" i="32"/>
  <c r="O97" i="32"/>
  <c r="M113" i="32"/>
  <c r="O113" i="32"/>
  <c r="M37" i="32"/>
  <c r="O37" i="32"/>
  <c r="O56" i="32"/>
  <c r="M56" i="32"/>
  <c r="O67" i="32"/>
  <c r="M67" i="32"/>
  <c r="M147" i="32"/>
  <c r="O147" i="32"/>
  <c r="M158" i="32"/>
  <c r="O158" i="32"/>
  <c r="O35" i="32"/>
  <c r="M35" i="32"/>
  <c r="M36" i="32"/>
  <c r="O36" i="32"/>
  <c r="O46" i="32"/>
  <c r="M46" i="32"/>
  <c r="D15" i="30"/>
  <c r="E203" i="30"/>
  <c r="E200" i="30"/>
  <c r="D19" i="41"/>
  <c r="C147" i="30"/>
  <c r="C143" i="30"/>
  <c r="C139" i="30"/>
  <c r="C135" i="30"/>
  <c r="C87" i="30"/>
  <c r="C55" i="30"/>
  <c r="C23" i="30"/>
  <c r="C15" i="30"/>
  <c r="D203" i="30"/>
  <c r="D200" i="30"/>
  <c r="D143" i="30"/>
  <c r="E146" i="30"/>
  <c r="E142" i="30"/>
  <c r="E138" i="30"/>
  <c r="E134" i="30"/>
  <c r="E86" i="30"/>
  <c r="E74" i="30"/>
  <c r="E54" i="30"/>
  <c r="E42" i="30"/>
  <c r="E38" i="30"/>
  <c r="E34" i="30"/>
  <c r="E30" i="30"/>
  <c r="E26" i="30"/>
  <c r="E14" i="30"/>
  <c r="C203" i="30"/>
  <c r="C200" i="30"/>
  <c r="D135" i="30"/>
  <c r="D138" i="30"/>
  <c r="D42" i="30"/>
  <c r="D14" i="30"/>
  <c r="B197" i="30"/>
  <c r="C146" i="30"/>
  <c r="C142" i="30"/>
  <c r="C138" i="30"/>
  <c r="C134" i="30"/>
  <c r="C86" i="30"/>
  <c r="C74" i="30"/>
  <c r="C54" i="30"/>
  <c r="C42" i="30"/>
  <c r="C38" i="30"/>
  <c r="C34" i="30"/>
  <c r="C30" i="30"/>
  <c r="C26" i="30"/>
  <c r="C14" i="30"/>
  <c r="E169" i="30"/>
  <c r="D134" i="30"/>
  <c r="D86" i="30"/>
  <c r="B203" i="30"/>
  <c r="B200" i="30"/>
  <c r="E149" i="30"/>
  <c r="E145" i="30"/>
  <c r="E141" i="30"/>
  <c r="E137" i="30"/>
  <c r="E125" i="30"/>
  <c r="E85" i="30"/>
  <c r="E73" i="30"/>
  <c r="E61" i="30"/>
  <c r="E33" i="30"/>
  <c r="E13" i="30"/>
  <c r="D169" i="30"/>
  <c r="D149" i="30"/>
  <c r="D145" i="30"/>
  <c r="D141" i="30"/>
  <c r="D137" i="30"/>
  <c r="D125" i="30"/>
  <c r="D85" i="30"/>
  <c r="D73" i="30"/>
  <c r="D61" i="30"/>
  <c r="D33" i="30"/>
  <c r="D13" i="30"/>
  <c r="C169" i="30"/>
  <c r="D147" i="30"/>
  <c r="D87" i="30"/>
  <c r="D54" i="30"/>
  <c r="D30" i="30"/>
  <c r="C149" i="30"/>
  <c r="C145" i="30"/>
  <c r="C141" i="30"/>
  <c r="C137" i="30"/>
  <c r="C125" i="30"/>
  <c r="C85" i="30"/>
  <c r="C73" i="30"/>
  <c r="C61" i="30"/>
  <c r="C33" i="30"/>
  <c r="C13" i="30"/>
  <c r="B202" i="30"/>
  <c r="B169" i="30"/>
  <c r="E148" i="30"/>
  <c r="E144" i="30"/>
  <c r="E140" i="30"/>
  <c r="E136" i="30"/>
  <c r="E64" i="30"/>
  <c r="E56" i="30"/>
  <c r="E52" i="30"/>
  <c r="E32" i="30"/>
  <c r="E28" i="30"/>
  <c r="E24" i="30"/>
  <c r="E20" i="30"/>
  <c r="E201" i="30"/>
  <c r="E195" i="30"/>
  <c r="E192" i="30"/>
  <c r="D146" i="30"/>
  <c r="D26" i="30"/>
  <c r="D148" i="30"/>
  <c r="D144" i="30"/>
  <c r="D140" i="30"/>
  <c r="D136" i="30"/>
  <c r="D64" i="30"/>
  <c r="D56" i="30"/>
  <c r="D52" i="30"/>
  <c r="D32" i="30"/>
  <c r="D28" i="30"/>
  <c r="D24" i="30"/>
  <c r="D20" i="30"/>
  <c r="D201" i="30"/>
  <c r="D195" i="30"/>
  <c r="D192" i="30"/>
  <c r="D139" i="30"/>
  <c r="D55" i="30"/>
  <c r="D142" i="30"/>
  <c r="D34" i="30"/>
  <c r="C148" i="30"/>
  <c r="C144" i="30"/>
  <c r="C140" i="30"/>
  <c r="C136" i="30"/>
  <c r="C64" i="30"/>
  <c r="C56" i="30"/>
  <c r="C52" i="30"/>
  <c r="C32" i="30"/>
  <c r="C28" i="30"/>
  <c r="C24" i="30"/>
  <c r="C20" i="30"/>
  <c r="C201" i="30"/>
  <c r="C195" i="30"/>
  <c r="C192" i="30"/>
  <c r="D74" i="30"/>
  <c r="D38" i="30"/>
  <c r="E147" i="30"/>
  <c r="E143" i="30"/>
  <c r="E139" i="30"/>
  <c r="E135" i="30"/>
  <c r="E87" i="30"/>
  <c r="E55" i="30"/>
  <c r="E23" i="30"/>
  <c r="E15" i="30"/>
  <c r="B201" i="30"/>
  <c r="B195" i="30"/>
  <c r="B192" i="30"/>
  <c r="B189" i="30"/>
  <c r="B180" i="30"/>
  <c r="B174" i="30"/>
  <c r="B168" i="41"/>
  <c r="D27" i="41"/>
  <c r="C27" i="41"/>
  <c r="C145" i="41"/>
  <c r="D23" i="41"/>
  <c r="C19" i="41"/>
  <c r="C23" i="41"/>
  <c r="D15" i="41"/>
  <c r="C15" i="41"/>
  <c r="D126" i="41"/>
  <c r="D55" i="41"/>
  <c r="C130" i="41"/>
  <c r="D173" i="41"/>
  <c r="E149" i="41"/>
  <c r="E145" i="41"/>
  <c r="E141" i="41"/>
  <c r="E137" i="41"/>
  <c r="E133" i="41"/>
  <c r="E125" i="41"/>
  <c r="E117" i="41"/>
  <c r="E101" i="41"/>
  <c r="E85" i="41"/>
  <c r="E73" i="41"/>
  <c r="E69" i="41"/>
  <c r="E54" i="41"/>
  <c r="E42" i="41"/>
  <c r="E38" i="41"/>
  <c r="E34" i="41"/>
  <c r="E30" i="41"/>
  <c r="E26" i="41"/>
  <c r="E22" i="41"/>
  <c r="E14" i="41"/>
  <c r="C203" i="41"/>
  <c r="C200" i="41"/>
  <c r="C188" i="41"/>
  <c r="C179" i="41"/>
  <c r="C173" i="41"/>
  <c r="C170" i="41"/>
  <c r="D130" i="41"/>
  <c r="D86" i="41"/>
  <c r="E173" i="41"/>
  <c r="C134" i="41"/>
  <c r="C86" i="41"/>
  <c r="D200" i="41"/>
  <c r="D188" i="41"/>
  <c r="D179" i="41"/>
  <c r="D170" i="41"/>
  <c r="E161" i="41"/>
  <c r="D161" i="41"/>
  <c r="D149" i="41"/>
  <c r="D145" i="41"/>
  <c r="D141" i="41"/>
  <c r="D137" i="41"/>
  <c r="D133" i="41"/>
  <c r="D125" i="41"/>
  <c r="D117" i="41"/>
  <c r="D101" i="41"/>
  <c r="D85" i="41"/>
  <c r="D73" i="41"/>
  <c r="D69" i="41"/>
  <c r="D54" i="41"/>
  <c r="D42" i="41"/>
  <c r="D38" i="41"/>
  <c r="D34" i="41"/>
  <c r="D30" i="41"/>
  <c r="D26" i="41"/>
  <c r="D22" i="41"/>
  <c r="D14" i="41"/>
  <c r="B203" i="41"/>
  <c r="B200" i="41"/>
  <c r="B188" i="41"/>
  <c r="B179" i="41"/>
  <c r="B173" i="41"/>
  <c r="B170" i="41"/>
  <c r="D106" i="41"/>
  <c r="C138" i="41"/>
  <c r="C161" i="41"/>
  <c r="C133" i="41"/>
  <c r="C69" i="41"/>
  <c r="C38" i="41"/>
  <c r="C34" i="41"/>
  <c r="C30" i="41"/>
  <c r="C26" i="41"/>
  <c r="C22" i="41"/>
  <c r="C14" i="41"/>
  <c r="E199" i="41"/>
  <c r="E196" i="41"/>
  <c r="E193" i="41"/>
  <c r="E190" i="41"/>
  <c r="E184" i="41"/>
  <c r="E181" i="41"/>
  <c r="E178" i="41"/>
  <c r="E175" i="41"/>
  <c r="E172" i="41"/>
  <c r="E169" i="41"/>
  <c r="D134" i="41"/>
  <c r="E200" i="41"/>
  <c r="C142" i="41"/>
  <c r="C141" i="41"/>
  <c r="C42" i="41"/>
  <c r="E156" i="41"/>
  <c r="E148" i="41"/>
  <c r="E144" i="41"/>
  <c r="E140" i="41"/>
  <c r="E136" i="41"/>
  <c r="E112" i="41"/>
  <c r="E100" i="41"/>
  <c r="E96" i="41"/>
  <c r="E88" i="41"/>
  <c r="E84" i="41"/>
  <c r="E72" i="41"/>
  <c r="E65" i="41"/>
  <c r="E61" i="41"/>
  <c r="E53" i="41"/>
  <c r="E49" i="41"/>
  <c r="E41" i="41"/>
  <c r="E37" i="41"/>
  <c r="E33" i="41"/>
  <c r="E17" i="41"/>
  <c r="E13" i="41"/>
  <c r="D199" i="41"/>
  <c r="D196" i="41"/>
  <c r="D193" i="41"/>
  <c r="D190" i="41"/>
  <c r="D184" i="41"/>
  <c r="D181" i="41"/>
  <c r="D178" i="41"/>
  <c r="D175" i="41"/>
  <c r="D172" i="41"/>
  <c r="D169" i="41"/>
  <c r="D138" i="41"/>
  <c r="E203" i="41"/>
  <c r="C146" i="41"/>
  <c r="C137" i="41"/>
  <c r="C101" i="41"/>
  <c r="C85" i="41"/>
  <c r="C73" i="41"/>
  <c r="D156" i="41"/>
  <c r="D148" i="41"/>
  <c r="D144" i="41"/>
  <c r="D140" i="41"/>
  <c r="D136" i="41"/>
  <c r="D112" i="41"/>
  <c r="D100" i="41"/>
  <c r="D96" i="41"/>
  <c r="D88" i="41"/>
  <c r="D84" i="41"/>
  <c r="D72" i="41"/>
  <c r="D65" i="41"/>
  <c r="D61" i="41"/>
  <c r="D53" i="41"/>
  <c r="D49" i="41"/>
  <c r="D41" i="41"/>
  <c r="D37" i="41"/>
  <c r="D33" i="41"/>
  <c r="D17" i="41"/>
  <c r="D13" i="41"/>
  <c r="C199" i="41"/>
  <c r="C196" i="41"/>
  <c r="C193" i="41"/>
  <c r="C190" i="41"/>
  <c r="C184" i="41"/>
  <c r="C181" i="41"/>
  <c r="C178" i="41"/>
  <c r="C175" i="41"/>
  <c r="C172" i="41"/>
  <c r="C169" i="41"/>
  <c r="D154" i="41"/>
  <c r="E170" i="41"/>
  <c r="C126" i="41"/>
  <c r="C149" i="41"/>
  <c r="C54" i="41"/>
  <c r="C156" i="41"/>
  <c r="C148" i="41"/>
  <c r="C144" i="41"/>
  <c r="C140" i="41"/>
  <c r="C136" i="41"/>
  <c r="C112" i="41"/>
  <c r="C100" i="41"/>
  <c r="C96" i="41"/>
  <c r="C88" i="41"/>
  <c r="C84" i="41"/>
  <c r="C72" i="41"/>
  <c r="C65" i="41"/>
  <c r="C61" i="41"/>
  <c r="C53" i="41"/>
  <c r="C49" i="41"/>
  <c r="C41" i="41"/>
  <c r="C37" i="41"/>
  <c r="C33" i="41"/>
  <c r="C17" i="41"/>
  <c r="C13" i="41"/>
  <c r="B199" i="41"/>
  <c r="B196" i="41"/>
  <c r="B193" i="41"/>
  <c r="B190" i="41"/>
  <c r="B184" i="41"/>
  <c r="B181" i="41"/>
  <c r="B178" i="41"/>
  <c r="B175" i="41"/>
  <c r="B172" i="41"/>
  <c r="B169" i="41"/>
  <c r="D150" i="41"/>
  <c r="E179" i="41"/>
  <c r="C150" i="41"/>
  <c r="C106" i="41"/>
  <c r="D203" i="41"/>
  <c r="C117" i="41"/>
  <c r="E155" i="41"/>
  <c r="E151" i="41"/>
  <c r="E147" i="41"/>
  <c r="E143" i="41"/>
  <c r="E139" i="41"/>
  <c r="E135" i="41"/>
  <c r="E127" i="41"/>
  <c r="E111" i="41"/>
  <c r="E99" i="41"/>
  <c r="E91" i="41"/>
  <c r="E87" i="41"/>
  <c r="E75" i="41"/>
  <c r="E68" i="41"/>
  <c r="E64" i="41"/>
  <c r="E56" i="41"/>
  <c r="E52" i="41"/>
  <c r="E32" i="41"/>
  <c r="E28" i="41"/>
  <c r="E24" i="41"/>
  <c r="E20" i="41"/>
  <c r="E204" i="41"/>
  <c r="E201" i="41"/>
  <c r="E198" i="41"/>
  <c r="E195" i="41"/>
  <c r="E192" i="41"/>
  <c r="E186" i="41"/>
  <c r="E183" i="41"/>
  <c r="E177" i="41"/>
  <c r="E171" i="41"/>
  <c r="E168" i="41"/>
  <c r="D142" i="41"/>
  <c r="E188" i="41"/>
  <c r="C55" i="41"/>
  <c r="C31" i="41"/>
  <c r="C125" i="41"/>
  <c r="D155" i="41"/>
  <c r="D151" i="41"/>
  <c r="D147" i="41"/>
  <c r="D143" i="41"/>
  <c r="D139" i="41"/>
  <c r="D135" i="41"/>
  <c r="D127" i="41"/>
  <c r="D111" i="41"/>
  <c r="D99" i="41"/>
  <c r="D91" i="41"/>
  <c r="D87" i="41"/>
  <c r="D75" i="41"/>
  <c r="D68" i="41"/>
  <c r="D64" i="41"/>
  <c r="D56" i="41"/>
  <c r="D52" i="41"/>
  <c r="D32" i="41"/>
  <c r="D28" i="41"/>
  <c r="D24" i="41"/>
  <c r="D20" i="41"/>
  <c r="D204" i="41"/>
  <c r="D201" i="41"/>
  <c r="D198" i="41"/>
  <c r="D195" i="41"/>
  <c r="D192" i="41"/>
  <c r="D186" i="41"/>
  <c r="D183" i="41"/>
  <c r="D177" i="41"/>
  <c r="D171" i="41"/>
  <c r="D168" i="41"/>
  <c r="D146" i="41"/>
  <c r="D31" i="41"/>
  <c r="C122" i="41"/>
  <c r="C74" i="41"/>
  <c r="C155" i="41"/>
  <c r="C151" i="41"/>
  <c r="C147" i="41"/>
  <c r="C143" i="41"/>
  <c r="C139" i="41"/>
  <c r="C135" i="41"/>
  <c r="C127" i="41"/>
  <c r="C111" i="41"/>
  <c r="C99" i="41"/>
  <c r="C91" i="41"/>
  <c r="C87" i="41"/>
  <c r="C75" i="41"/>
  <c r="C68" i="41"/>
  <c r="C64" i="41"/>
  <c r="C56" i="41"/>
  <c r="C52" i="41"/>
  <c r="C32" i="41"/>
  <c r="C28" i="41"/>
  <c r="C24" i="41"/>
  <c r="C20" i="41"/>
  <c r="C204" i="41"/>
  <c r="C201" i="41"/>
  <c r="C198" i="41"/>
  <c r="C195" i="41"/>
  <c r="C192" i="41"/>
  <c r="C186" i="41"/>
  <c r="C183" i="41"/>
  <c r="C177" i="41"/>
  <c r="C171" i="41"/>
  <c r="C168" i="41"/>
  <c r="D122" i="41"/>
  <c r="D74" i="41"/>
  <c r="C154" i="41"/>
  <c r="E154" i="41"/>
  <c r="E150" i="41"/>
  <c r="E146" i="41"/>
  <c r="E142" i="41"/>
  <c r="E138" i="41"/>
  <c r="E134" i="41"/>
  <c r="E130" i="41"/>
  <c r="E126" i="41"/>
  <c r="E122" i="41"/>
  <c r="E106" i="41"/>
  <c r="E86" i="41"/>
  <c r="E74" i="41"/>
  <c r="E55" i="41"/>
  <c r="E31" i="41"/>
  <c r="E27" i="41"/>
  <c r="E23" i="41"/>
  <c r="E19" i="41"/>
  <c r="E15" i="41"/>
  <c r="B204" i="41"/>
  <c r="B201" i="41"/>
  <c r="B198" i="41"/>
  <c r="B195" i="41"/>
  <c r="B192" i="41"/>
  <c r="B186" i="41"/>
  <c r="B183" i="41"/>
  <c r="B177" i="41"/>
  <c r="B171" i="41"/>
  <c r="B13" i="41"/>
  <c r="B14" i="41"/>
  <c r="B15" i="41"/>
  <c r="B17" i="41"/>
  <c r="B19" i="41"/>
  <c r="B20" i="41"/>
  <c r="B22" i="41"/>
  <c r="B23" i="41"/>
  <c r="B24" i="41"/>
  <c r="B26" i="41"/>
  <c r="B27" i="41"/>
  <c r="B28" i="41"/>
  <c r="B30" i="41"/>
  <c r="B31" i="41"/>
  <c r="B32" i="41"/>
  <c r="B33" i="41"/>
  <c r="B34" i="41"/>
  <c r="B37" i="41"/>
  <c r="B38" i="41"/>
  <c r="B41" i="41"/>
  <c r="B42" i="41"/>
  <c r="B49" i="41"/>
  <c r="B52" i="41"/>
  <c r="B53" i="41"/>
  <c r="B54" i="41"/>
  <c r="B55" i="41"/>
  <c r="B56" i="41"/>
  <c r="B61" i="41"/>
  <c r="B64" i="41"/>
  <c r="B65" i="41"/>
  <c r="B68" i="41"/>
  <c r="B69" i="41"/>
  <c r="B72" i="41"/>
  <c r="B73" i="41"/>
  <c r="B74" i="41"/>
  <c r="B75" i="41"/>
  <c r="B84" i="41"/>
  <c r="B85" i="41"/>
  <c r="B86" i="41"/>
  <c r="B87" i="41"/>
  <c r="B88" i="41"/>
  <c r="B91" i="41"/>
  <c r="B96" i="41"/>
  <c r="B99" i="41"/>
  <c r="B100" i="41"/>
  <c r="B101" i="41"/>
  <c r="B106" i="41"/>
  <c r="B111" i="41"/>
  <c r="B112" i="41"/>
  <c r="B117" i="41"/>
  <c r="B122" i="41"/>
  <c r="B125" i="41"/>
  <c r="B126" i="41"/>
  <c r="B127" i="41"/>
  <c r="B130" i="41"/>
  <c r="B133" i="41"/>
  <c r="B134" i="41"/>
  <c r="B135" i="41"/>
  <c r="B136" i="41"/>
  <c r="B137" i="41"/>
  <c r="B138" i="41"/>
  <c r="B139" i="41"/>
  <c r="B140" i="41"/>
  <c r="B141" i="41"/>
  <c r="B142" i="41"/>
  <c r="B143" i="41"/>
  <c r="B144" i="41"/>
  <c r="B145" i="41"/>
  <c r="B146" i="41"/>
  <c r="B147" i="41"/>
  <c r="B148" i="41"/>
  <c r="B149" i="41"/>
  <c r="B150" i="41"/>
  <c r="B151" i="41"/>
  <c r="B154" i="41"/>
  <c r="B155" i="41"/>
  <c r="B156" i="41"/>
  <c r="B161" i="41"/>
  <c r="B35" i="39"/>
  <c r="C35" i="39"/>
  <c r="D35" i="39"/>
  <c r="E35" i="39"/>
  <c r="B36" i="39"/>
  <c r="C36" i="39"/>
  <c r="D36" i="39"/>
  <c r="E36" i="39"/>
  <c r="B37" i="39"/>
  <c r="C37" i="39"/>
  <c r="D37" i="39"/>
  <c r="E37" i="39"/>
  <c r="B39" i="39"/>
  <c r="C39" i="39"/>
  <c r="D39" i="39"/>
  <c r="E39" i="39"/>
  <c r="B41" i="39"/>
  <c r="C41" i="39"/>
  <c r="D41" i="39"/>
  <c r="E41" i="39"/>
  <c r="B42" i="39"/>
  <c r="C42" i="39"/>
  <c r="D42" i="39"/>
  <c r="E42" i="39"/>
  <c r="B44" i="39"/>
  <c r="C44" i="39"/>
  <c r="D44" i="39"/>
  <c r="E44" i="39"/>
  <c r="B45" i="39"/>
  <c r="C45" i="39"/>
  <c r="D45" i="39"/>
  <c r="E45" i="39"/>
  <c r="B46" i="39"/>
  <c r="C46" i="39"/>
  <c r="D46" i="39"/>
  <c r="E46" i="39"/>
  <c r="B48" i="39"/>
  <c r="C48" i="39"/>
  <c r="D48" i="39"/>
  <c r="E48" i="39"/>
  <c r="B49" i="39"/>
  <c r="C49" i="39"/>
  <c r="D49" i="39"/>
  <c r="E49" i="39"/>
  <c r="B50" i="39"/>
  <c r="C50" i="39"/>
  <c r="D50" i="39"/>
  <c r="E50" i="39"/>
  <c r="B52" i="39"/>
  <c r="C52" i="39"/>
  <c r="D52" i="39"/>
  <c r="E52" i="39"/>
  <c r="B53" i="39"/>
  <c r="C53" i="39"/>
  <c r="D53" i="39"/>
  <c r="E53" i="39"/>
  <c r="B54" i="39"/>
  <c r="C54" i="39"/>
  <c r="D54" i="39"/>
  <c r="E54" i="39"/>
  <c r="B55" i="39"/>
  <c r="C55" i="39"/>
  <c r="D55" i="39"/>
  <c r="E55" i="39"/>
  <c r="B56" i="39"/>
  <c r="C56" i="39"/>
  <c r="D56" i="39"/>
  <c r="E56" i="39"/>
  <c r="B57" i="39"/>
  <c r="C57" i="39"/>
  <c r="D57" i="39"/>
  <c r="E57" i="39"/>
  <c r="B59" i="39"/>
  <c r="C59" i="39"/>
  <c r="D59" i="39"/>
  <c r="E59" i="39"/>
  <c r="B60" i="39"/>
  <c r="C60" i="39"/>
  <c r="D60" i="39"/>
  <c r="E60" i="39"/>
  <c r="B61" i="39"/>
  <c r="C61" i="39"/>
  <c r="D61" i="39"/>
  <c r="E61" i="39"/>
  <c r="B63" i="39"/>
  <c r="C63" i="39"/>
  <c r="D63" i="39"/>
  <c r="E63" i="39"/>
  <c r="B64" i="39"/>
  <c r="C64" i="39"/>
  <c r="D64" i="39"/>
  <c r="E64" i="39"/>
  <c r="B65" i="39"/>
  <c r="C65" i="39"/>
  <c r="D65" i="39"/>
  <c r="E65" i="39"/>
  <c r="B67" i="39"/>
  <c r="C67" i="39"/>
  <c r="D67" i="39"/>
  <c r="E67" i="39"/>
  <c r="B69" i="39"/>
  <c r="C69" i="39"/>
  <c r="D69" i="39"/>
  <c r="E69" i="39"/>
  <c r="B71" i="39"/>
  <c r="C71" i="39"/>
  <c r="D71" i="39"/>
  <c r="E71" i="39"/>
  <c r="B72" i="39"/>
  <c r="C72" i="39"/>
  <c r="D72" i="39"/>
  <c r="E72" i="39"/>
  <c r="B74" i="39"/>
  <c r="C74" i="39"/>
  <c r="D74" i="39"/>
  <c r="E74" i="39"/>
  <c r="B75" i="39"/>
  <c r="C75" i="39"/>
  <c r="D75" i="39"/>
  <c r="E75" i="39"/>
  <c r="B76" i="39"/>
  <c r="C76" i="39"/>
  <c r="D76" i="39"/>
  <c r="E76" i="39"/>
  <c r="B77" i="39"/>
  <c r="C77" i="39"/>
  <c r="D77" i="39"/>
  <c r="E77" i="39"/>
  <c r="B78" i="39"/>
  <c r="C78" i="39"/>
  <c r="D78" i="39"/>
  <c r="E78" i="39"/>
  <c r="B79" i="39"/>
  <c r="C79" i="39"/>
  <c r="D79" i="39"/>
  <c r="E79" i="39"/>
  <c r="B81" i="39"/>
  <c r="C81" i="39"/>
  <c r="D81" i="39"/>
  <c r="E81" i="39"/>
  <c r="B83" i="39"/>
  <c r="C83" i="39"/>
  <c r="D83" i="39"/>
  <c r="E83" i="39"/>
  <c r="B84" i="39"/>
  <c r="C84" i="39"/>
  <c r="D84" i="39"/>
  <c r="E84" i="39"/>
  <c r="B86" i="39"/>
  <c r="C86" i="39"/>
  <c r="D86" i="39"/>
  <c r="E86" i="39"/>
  <c r="B87" i="39"/>
  <c r="C87" i="39"/>
  <c r="D87" i="39"/>
  <c r="E87" i="39"/>
  <c r="B88" i="39"/>
  <c r="C88" i="39"/>
  <c r="D88" i="39"/>
  <c r="E88" i="39"/>
  <c r="B90" i="39"/>
  <c r="C90" i="39"/>
  <c r="D90" i="39"/>
  <c r="E90" i="39"/>
  <c r="B91" i="39"/>
  <c r="C91" i="39"/>
  <c r="D91" i="39"/>
  <c r="E91" i="39"/>
  <c r="B92" i="39"/>
  <c r="C92" i="39"/>
  <c r="D92" i="39"/>
  <c r="E92" i="39"/>
  <c r="B94" i="39"/>
  <c r="C94" i="39"/>
  <c r="D94" i="39"/>
  <c r="E94" i="39"/>
  <c r="B95" i="39"/>
  <c r="C95" i="39"/>
  <c r="D95" i="39"/>
  <c r="E95" i="39"/>
  <c r="B96" i="39"/>
  <c r="C96" i="39"/>
  <c r="D96" i="39"/>
  <c r="E96" i="39"/>
  <c r="B97" i="39"/>
  <c r="C97" i="39"/>
  <c r="D97" i="39"/>
  <c r="E97" i="39"/>
  <c r="B98" i="39"/>
  <c r="C98" i="39"/>
  <c r="D98" i="39"/>
  <c r="E98" i="39"/>
  <c r="B100" i="39"/>
  <c r="C100" i="39"/>
  <c r="D100" i="39"/>
  <c r="E100" i="39"/>
  <c r="B102" i="39"/>
  <c r="C102" i="39"/>
  <c r="D102" i="39"/>
  <c r="E102" i="39"/>
  <c r="B104" i="39"/>
  <c r="C104" i="39"/>
  <c r="D104" i="39"/>
  <c r="E104" i="39"/>
  <c r="B106" i="39"/>
  <c r="C106" i="39"/>
  <c r="D106" i="39"/>
  <c r="E106" i="39"/>
  <c r="B107" i="39"/>
  <c r="C107" i="39"/>
  <c r="D107" i="39"/>
  <c r="E107" i="39"/>
  <c r="B108" i="39"/>
  <c r="C108" i="39"/>
  <c r="D108" i="39"/>
  <c r="E108" i="39"/>
  <c r="B109" i="39"/>
  <c r="C109" i="39"/>
  <c r="D109" i="39"/>
  <c r="E109" i="39"/>
  <c r="B110" i="39"/>
  <c r="C110" i="39"/>
  <c r="D110" i="39"/>
  <c r="E110" i="39"/>
  <c r="B111" i="39"/>
  <c r="C111" i="39"/>
  <c r="D111" i="39"/>
  <c r="E111" i="39"/>
  <c r="B113" i="39"/>
  <c r="C113" i="39"/>
  <c r="D113" i="39"/>
  <c r="E113" i="39"/>
  <c r="B114" i="39"/>
  <c r="C114" i="39"/>
  <c r="D114" i="39"/>
  <c r="E114" i="39"/>
  <c r="B116" i="39"/>
  <c r="C116" i="39"/>
  <c r="D116" i="39"/>
  <c r="E116" i="39"/>
  <c r="B118" i="39"/>
  <c r="C118" i="39"/>
  <c r="D118" i="39"/>
  <c r="E118" i="39"/>
  <c r="B119" i="39"/>
  <c r="C119" i="39"/>
  <c r="D119" i="39"/>
  <c r="E119" i="39"/>
  <c r="B121" i="39"/>
  <c r="C121" i="39"/>
  <c r="D121" i="39"/>
  <c r="E121" i="39"/>
  <c r="B122" i="39"/>
  <c r="C122" i="39"/>
  <c r="D122" i="39"/>
  <c r="E122" i="39"/>
  <c r="B123" i="39"/>
  <c r="C123" i="39"/>
  <c r="D123" i="39"/>
  <c r="E123" i="39"/>
  <c r="B124" i="39"/>
  <c r="C124" i="39"/>
  <c r="D124" i="39"/>
  <c r="E124" i="39"/>
  <c r="B126" i="39"/>
  <c r="C126" i="39"/>
  <c r="D126" i="39"/>
  <c r="E126" i="39"/>
  <c r="B128" i="39"/>
  <c r="C128" i="39"/>
  <c r="D128" i="39"/>
  <c r="E128" i="39"/>
  <c r="B129" i="39"/>
  <c r="C129" i="39"/>
  <c r="D129" i="39"/>
  <c r="E129" i="39"/>
  <c r="B131" i="39"/>
  <c r="C131" i="39"/>
  <c r="D131" i="39"/>
  <c r="E131" i="39"/>
  <c r="B133" i="39"/>
  <c r="C133" i="39"/>
  <c r="D133" i="39"/>
  <c r="E133" i="39"/>
  <c r="B134" i="39"/>
  <c r="C134" i="39"/>
  <c r="D134" i="39"/>
  <c r="E134" i="39"/>
  <c r="B135" i="39"/>
  <c r="C135" i="39"/>
  <c r="D135" i="39"/>
  <c r="E135" i="39"/>
  <c r="B137" i="39"/>
  <c r="C137" i="39"/>
  <c r="D137" i="39"/>
  <c r="E137" i="39"/>
  <c r="B139" i="39"/>
  <c r="C139" i="39"/>
  <c r="D139" i="39"/>
  <c r="E139" i="39"/>
  <c r="B140" i="39"/>
  <c r="C140" i="39"/>
  <c r="D140" i="39"/>
  <c r="E140" i="39"/>
  <c r="B142" i="39"/>
  <c r="C142" i="39"/>
  <c r="D142" i="39"/>
  <c r="E142" i="39"/>
  <c r="B144" i="39"/>
  <c r="C144" i="39"/>
  <c r="D144" i="39"/>
  <c r="E144" i="39"/>
  <c r="B145" i="39"/>
  <c r="C145" i="39"/>
  <c r="D145" i="39"/>
  <c r="E145" i="39"/>
  <c r="B147" i="39"/>
  <c r="C147" i="39"/>
  <c r="D147" i="39"/>
  <c r="E147" i="39"/>
  <c r="B148" i="39"/>
  <c r="C148" i="39"/>
  <c r="D148" i="39"/>
  <c r="E148" i="39"/>
  <c r="B149" i="39"/>
  <c r="C149" i="39"/>
  <c r="D149" i="39"/>
  <c r="E149" i="39"/>
  <c r="B150" i="39"/>
  <c r="C150" i="39"/>
  <c r="D150" i="39"/>
  <c r="E150" i="39"/>
  <c r="B152" i="39"/>
  <c r="C152" i="39"/>
  <c r="D152" i="39"/>
  <c r="E152" i="39"/>
  <c r="B153" i="39"/>
  <c r="C153" i="39"/>
  <c r="D153" i="39"/>
  <c r="E153" i="39"/>
  <c r="B155" i="39"/>
  <c r="C155" i="39"/>
  <c r="D155" i="39"/>
  <c r="E155" i="39"/>
  <c r="B156" i="39"/>
  <c r="C156" i="39"/>
  <c r="D156" i="39"/>
  <c r="E156" i="39"/>
  <c r="B157" i="39"/>
  <c r="C157" i="39"/>
  <c r="D157" i="39"/>
  <c r="E157" i="39"/>
  <c r="B158" i="39"/>
  <c r="C158" i="39"/>
  <c r="D158" i="39"/>
  <c r="E158" i="39"/>
  <c r="B159" i="39"/>
  <c r="C159" i="39"/>
  <c r="D159" i="39"/>
  <c r="E159" i="39"/>
  <c r="B160" i="39"/>
  <c r="C160" i="39"/>
  <c r="D160" i="39"/>
  <c r="E160" i="39"/>
  <c r="B161" i="39"/>
  <c r="C161" i="39"/>
  <c r="D161" i="39"/>
  <c r="E161" i="39"/>
  <c r="B162" i="39"/>
  <c r="C162" i="39"/>
  <c r="D162" i="39"/>
  <c r="E162" i="39"/>
  <c r="B163" i="39"/>
  <c r="C163" i="39"/>
  <c r="D163" i="39"/>
  <c r="E163" i="39"/>
  <c r="B164" i="39"/>
  <c r="C164" i="39"/>
  <c r="D164" i="39"/>
  <c r="E164" i="39"/>
  <c r="B165" i="39"/>
  <c r="C165" i="39"/>
  <c r="D165" i="39"/>
  <c r="E165" i="39"/>
  <c r="B166" i="39"/>
  <c r="C166" i="39"/>
  <c r="D166" i="39"/>
  <c r="E166" i="39"/>
  <c r="B167" i="39"/>
  <c r="C167" i="39"/>
  <c r="D167" i="39"/>
  <c r="E167" i="39"/>
  <c r="B168" i="39"/>
  <c r="C168" i="39"/>
  <c r="D168" i="39"/>
  <c r="E168" i="39"/>
  <c r="P35" i="39"/>
  <c r="R35" i="39"/>
  <c r="N35" i="39" s="1"/>
  <c r="P36" i="39"/>
  <c r="R36" i="39"/>
  <c r="N36" i="39" s="1"/>
  <c r="P37" i="39"/>
  <c r="R37" i="39"/>
  <c r="N37" i="39" s="1"/>
  <c r="P39" i="39"/>
  <c r="R39" i="39"/>
  <c r="N39" i="39" s="1"/>
  <c r="P41" i="39"/>
  <c r="R41" i="39"/>
  <c r="N41" i="39" s="1"/>
  <c r="P42" i="39"/>
  <c r="R42" i="39"/>
  <c r="N42" i="39" s="1"/>
  <c r="P44" i="39"/>
  <c r="R44" i="39"/>
  <c r="N44" i="39" s="1"/>
  <c r="P45" i="39"/>
  <c r="R45" i="39"/>
  <c r="N45" i="39" s="1"/>
  <c r="P46" i="39"/>
  <c r="R46" i="39"/>
  <c r="N46" i="39" s="1"/>
  <c r="P48" i="39"/>
  <c r="R48" i="39"/>
  <c r="N48" i="39" s="1"/>
  <c r="P49" i="39"/>
  <c r="R49" i="39"/>
  <c r="N49" i="39" s="1"/>
  <c r="P50" i="39"/>
  <c r="R50" i="39"/>
  <c r="N50" i="39" s="1"/>
  <c r="P52" i="39"/>
  <c r="R52" i="39"/>
  <c r="N52" i="39" s="1"/>
  <c r="P53" i="39"/>
  <c r="R53" i="39"/>
  <c r="N53" i="39" s="1"/>
  <c r="P54" i="39"/>
  <c r="R54" i="39"/>
  <c r="N54" i="39" s="1"/>
  <c r="P55" i="39"/>
  <c r="R55" i="39"/>
  <c r="N55" i="39" s="1"/>
  <c r="P56" i="39"/>
  <c r="R56" i="39"/>
  <c r="N56" i="39" s="1"/>
  <c r="P57" i="39"/>
  <c r="R57" i="39"/>
  <c r="N57" i="39" s="1"/>
  <c r="P59" i="39"/>
  <c r="R59" i="39"/>
  <c r="N59" i="39" s="1"/>
  <c r="P60" i="39"/>
  <c r="R60" i="39"/>
  <c r="N60" i="39" s="1"/>
  <c r="P61" i="39"/>
  <c r="R61" i="39"/>
  <c r="N61" i="39" s="1"/>
  <c r="P63" i="39"/>
  <c r="R63" i="39"/>
  <c r="N63" i="39" s="1"/>
  <c r="P64" i="39"/>
  <c r="R64" i="39"/>
  <c r="N64" i="39" s="1"/>
  <c r="P65" i="39"/>
  <c r="R65" i="39"/>
  <c r="N65" i="39" s="1"/>
  <c r="P67" i="39"/>
  <c r="R67" i="39"/>
  <c r="N67" i="39" s="1"/>
  <c r="P69" i="39"/>
  <c r="R69" i="39"/>
  <c r="N69" i="39" s="1"/>
  <c r="P71" i="39"/>
  <c r="R71" i="39"/>
  <c r="N71" i="39" s="1"/>
  <c r="P72" i="39"/>
  <c r="R72" i="39"/>
  <c r="N72" i="39" s="1"/>
  <c r="P74" i="39"/>
  <c r="R74" i="39"/>
  <c r="N74" i="39" s="1"/>
  <c r="P75" i="39"/>
  <c r="R75" i="39"/>
  <c r="N75" i="39" s="1"/>
  <c r="P76" i="39"/>
  <c r="R76" i="39"/>
  <c r="N76" i="39" s="1"/>
  <c r="P77" i="39"/>
  <c r="R77" i="39"/>
  <c r="N77" i="39" s="1"/>
  <c r="P78" i="39"/>
  <c r="R78" i="39"/>
  <c r="N78" i="39" s="1"/>
  <c r="P79" i="39"/>
  <c r="R79" i="39"/>
  <c r="N79" i="39" s="1"/>
  <c r="P81" i="39"/>
  <c r="R81" i="39"/>
  <c r="N81" i="39" s="1"/>
  <c r="P83" i="39"/>
  <c r="R83" i="39"/>
  <c r="N83" i="39" s="1"/>
  <c r="P84" i="39"/>
  <c r="R84" i="39"/>
  <c r="N84" i="39" s="1"/>
  <c r="P86" i="39"/>
  <c r="R86" i="39"/>
  <c r="N86" i="39" s="1"/>
  <c r="P87" i="39"/>
  <c r="R87" i="39"/>
  <c r="N87" i="39" s="1"/>
  <c r="P88" i="39"/>
  <c r="R88" i="39"/>
  <c r="N88" i="39" s="1"/>
  <c r="P90" i="39"/>
  <c r="R90" i="39"/>
  <c r="N90" i="39" s="1"/>
  <c r="P91" i="39"/>
  <c r="R91" i="39"/>
  <c r="N91" i="39" s="1"/>
  <c r="P92" i="39"/>
  <c r="R92" i="39"/>
  <c r="N92" i="39" s="1"/>
  <c r="P94" i="39"/>
  <c r="R94" i="39"/>
  <c r="N94" i="39" s="1"/>
  <c r="P95" i="39"/>
  <c r="R95" i="39"/>
  <c r="N95" i="39" s="1"/>
  <c r="P96" i="39"/>
  <c r="R96" i="39"/>
  <c r="N96" i="39" s="1"/>
  <c r="P97" i="39"/>
  <c r="R97" i="39"/>
  <c r="N97" i="39" s="1"/>
  <c r="P98" i="39"/>
  <c r="R98" i="39"/>
  <c r="N98" i="39" s="1"/>
  <c r="P100" i="39"/>
  <c r="R100" i="39"/>
  <c r="N100" i="39" s="1"/>
  <c r="P102" i="39"/>
  <c r="R102" i="39"/>
  <c r="N102" i="39" s="1"/>
  <c r="P104" i="39"/>
  <c r="R104" i="39"/>
  <c r="N104" i="39" s="1"/>
  <c r="P106" i="39"/>
  <c r="R106" i="39"/>
  <c r="N106" i="39" s="1"/>
  <c r="P107" i="39"/>
  <c r="R107" i="39"/>
  <c r="N107" i="39" s="1"/>
  <c r="P108" i="39"/>
  <c r="R108" i="39"/>
  <c r="N108" i="39" s="1"/>
  <c r="P109" i="39"/>
  <c r="R109" i="39"/>
  <c r="N109" i="39" s="1"/>
  <c r="P110" i="39"/>
  <c r="R110" i="39"/>
  <c r="N110" i="39" s="1"/>
  <c r="P111" i="39"/>
  <c r="R111" i="39"/>
  <c r="N111" i="39" s="1"/>
  <c r="P113" i="39"/>
  <c r="R113" i="39"/>
  <c r="N113" i="39" s="1"/>
  <c r="P114" i="39"/>
  <c r="R114" i="39"/>
  <c r="N114" i="39" s="1"/>
  <c r="P116" i="39"/>
  <c r="R116" i="39"/>
  <c r="N116" i="39" s="1"/>
  <c r="P118" i="39"/>
  <c r="R118" i="39"/>
  <c r="N118" i="39" s="1"/>
  <c r="P119" i="39"/>
  <c r="R119" i="39"/>
  <c r="N119" i="39" s="1"/>
  <c r="P121" i="39"/>
  <c r="R121" i="39"/>
  <c r="N121" i="39" s="1"/>
  <c r="P122" i="39"/>
  <c r="R122" i="39"/>
  <c r="N122" i="39" s="1"/>
  <c r="P123" i="39"/>
  <c r="R123" i="39"/>
  <c r="N123" i="39" s="1"/>
  <c r="P124" i="39"/>
  <c r="R124" i="39"/>
  <c r="N124" i="39" s="1"/>
  <c r="P126" i="39"/>
  <c r="R126" i="39"/>
  <c r="N126" i="39" s="1"/>
  <c r="P128" i="39"/>
  <c r="R128" i="39"/>
  <c r="N128" i="39" s="1"/>
  <c r="P129" i="39"/>
  <c r="R129" i="39"/>
  <c r="N129" i="39" s="1"/>
  <c r="P131" i="39"/>
  <c r="R131" i="39"/>
  <c r="N131" i="39" s="1"/>
  <c r="P133" i="39"/>
  <c r="R133" i="39"/>
  <c r="N133" i="39" s="1"/>
  <c r="P134" i="39"/>
  <c r="R134" i="39"/>
  <c r="N134" i="39" s="1"/>
  <c r="P135" i="39"/>
  <c r="R135" i="39"/>
  <c r="N135" i="39" s="1"/>
  <c r="P137" i="39"/>
  <c r="R137" i="39"/>
  <c r="N137" i="39" s="1"/>
  <c r="P139" i="39"/>
  <c r="R139" i="39"/>
  <c r="N139" i="39" s="1"/>
  <c r="P140" i="39"/>
  <c r="R140" i="39"/>
  <c r="N140" i="39" s="1"/>
  <c r="P142" i="39"/>
  <c r="R142" i="39"/>
  <c r="N142" i="39" s="1"/>
  <c r="P144" i="39"/>
  <c r="R144" i="39"/>
  <c r="N144" i="39" s="1"/>
  <c r="P145" i="39"/>
  <c r="R145" i="39"/>
  <c r="N145" i="39" s="1"/>
  <c r="P147" i="39"/>
  <c r="R147" i="39"/>
  <c r="N147" i="39" s="1"/>
  <c r="P148" i="39"/>
  <c r="R148" i="39"/>
  <c r="N148" i="39" s="1"/>
  <c r="P149" i="39"/>
  <c r="R149" i="39"/>
  <c r="N149" i="39" s="1"/>
  <c r="P150" i="39"/>
  <c r="R150" i="39"/>
  <c r="N150" i="39" s="1"/>
  <c r="P152" i="39"/>
  <c r="R152" i="39"/>
  <c r="N152" i="39" s="1"/>
  <c r="P153" i="39"/>
  <c r="R153" i="39"/>
  <c r="N153" i="39" s="1"/>
  <c r="P155" i="39"/>
  <c r="R155" i="39"/>
  <c r="N155" i="39" s="1"/>
  <c r="P156" i="39"/>
  <c r="R156" i="39"/>
  <c r="N156" i="39" s="1"/>
  <c r="P157" i="39"/>
  <c r="R157" i="39"/>
  <c r="N157" i="39" s="1"/>
  <c r="P158" i="39"/>
  <c r="R158" i="39"/>
  <c r="N158" i="39" s="1"/>
  <c r="P159" i="39"/>
  <c r="R159" i="39"/>
  <c r="N159" i="39" s="1"/>
  <c r="P160" i="39"/>
  <c r="R160" i="39"/>
  <c r="N160" i="39" s="1"/>
  <c r="P161" i="39"/>
  <c r="R161" i="39"/>
  <c r="N161" i="39" s="1"/>
  <c r="P162" i="39"/>
  <c r="R162" i="39"/>
  <c r="N162" i="39" s="1"/>
  <c r="P163" i="39"/>
  <c r="R163" i="39"/>
  <c r="N163" i="39" s="1"/>
  <c r="P164" i="39"/>
  <c r="R164" i="39"/>
  <c r="N164" i="39" s="1"/>
  <c r="P165" i="39"/>
  <c r="R165" i="39"/>
  <c r="N165" i="39" s="1"/>
  <c r="P166" i="39"/>
  <c r="R166" i="39"/>
  <c r="N166" i="39" s="1"/>
  <c r="P167" i="39"/>
  <c r="R167" i="39"/>
  <c r="N167" i="39" s="1"/>
  <c r="P168" i="39"/>
  <c r="R168" i="39"/>
  <c r="N168" i="39" s="1"/>
  <c r="B13" i="30"/>
  <c r="B14" i="30"/>
  <c r="B15" i="30"/>
  <c r="B20" i="30"/>
  <c r="B23" i="30"/>
  <c r="B24" i="30"/>
  <c r="B26" i="30"/>
  <c r="B28" i="30"/>
  <c r="B30" i="30"/>
  <c r="B32" i="30"/>
  <c r="B33" i="30"/>
  <c r="B34" i="30"/>
  <c r="B38" i="30"/>
  <c r="B42" i="30"/>
  <c r="B52" i="30"/>
  <c r="B54" i="30"/>
  <c r="B55" i="30"/>
  <c r="B56" i="30"/>
  <c r="B61" i="30"/>
  <c r="B64" i="30"/>
  <c r="B73" i="30"/>
  <c r="B74" i="30"/>
  <c r="B85" i="30"/>
  <c r="B86" i="30"/>
  <c r="B87" i="30"/>
  <c r="B104" i="30"/>
  <c r="B109" i="30"/>
  <c r="B115" i="30"/>
  <c r="B120" i="30"/>
  <c r="B123" i="30"/>
  <c r="B125" i="30"/>
  <c r="B128" i="30"/>
  <c r="B131" i="30"/>
  <c r="B134" i="30"/>
  <c r="B135" i="30"/>
  <c r="B136" i="30"/>
  <c r="B137" i="30"/>
  <c r="B138" i="30"/>
  <c r="B139" i="30"/>
  <c r="B140" i="30"/>
  <c r="B141" i="30"/>
  <c r="B142" i="30"/>
  <c r="B143" i="30"/>
  <c r="B144" i="30"/>
  <c r="B145" i="30"/>
  <c r="B146" i="30"/>
  <c r="B147" i="30"/>
  <c r="B148" i="30"/>
  <c r="B149" i="30"/>
  <c r="B152" i="30"/>
  <c r="B34" i="32"/>
  <c r="B35" i="32"/>
  <c r="C35" i="32"/>
  <c r="D35" i="32"/>
  <c r="E35" i="32"/>
  <c r="B36" i="32"/>
  <c r="C36" i="32"/>
  <c r="D36" i="32"/>
  <c r="E36" i="32"/>
  <c r="B37" i="32"/>
  <c r="C37" i="32"/>
  <c r="D37" i="32"/>
  <c r="E37" i="32"/>
  <c r="B38" i="32"/>
  <c r="C38" i="32"/>
  <c r="D38" i="32"/>
  <c r="E38" i="32"/>
  <c r="B39" i="32"/>
  <c r="C39" i="32"/>
  <c r="D39" i="32"/>
  <c r="E39" i="32"/>
  <c r="B40" i="32"/>
  <c r="C40" i="32"/>
  <c r="D40" i="32"/>
  <c r="E40" i="32"/>
  <c r="B41" i="32"/>
  <c r="C41" i="32"/>
  <c r="D41" i="32"/>
  <c r="E41" i="32"/>
  <c r="B42" i="32"/>
  <c r="C42" i="32"/>
  <c r="D42" i="32"/>
  <c r="E42" i="32"/>
  <c r="B43" i="32"/>
  <c r="C43" i="32"/>
  <c r="D43" i="32"/>
  <c r="E43" i="32"/>
  <c r="B44" i="32"/>
  <c r="C44" i="32"/>
  <c r="D44" i="32"/>
  <c r="E44" i="32"/>
  <c r="B45" i="32"/>
  <c r="C45" i="32"/>
  <c r="D45" i="32"/>
  <c r="E45" i="32"/>
  <c r="B46" i="32"/>
  <c r="C46" i="32"/>
  <c r="D46" i="32"/>
  <c r="E46" i="32"/>
  <c r="B47" i="32"/>
  <c r="C47" i="32"/>
  <c r="D47" i="32"/>
  <c r="E47" i="32"/>
  <c r="B48" i="32"/>
  <c r="C48" i="32"/>
  <c r="D48" i="32"/>
  <c r="E48" i="32"/>
  <c r="B49" i="32"/>
  <c r="C49" i="32"/>
  <c r="D49" i="32"/>
  <c r="E49" i="32"/>
  <c r="B50" i="32"/>
  <c r="C50" i="32"/>
  <c r="D50" i="32"/>
  <c r="E50" i="32"/>
  <c r="B51" i="32"/>
  <c r="C51" i="32"/>
  <c r="D51" i="32"/>
  <c r="E51" i="32"/>
  <c r="B52" i="32"/>
  <c r="C52" i="32"/>
  <c r="D52" i="32"/>
  <c r="E52" i="32"/>
  <c r="B53" i="32"/>
  <c r="C53" i="32"/>
  <c r="D53" i="32"/>
  <c r="E53" i="32"/>
  <c r="B54" i="32"/>
  <c r="C54" i="32"/>
  <c r="D54" i="32"/>
  <c r="E54" i="32"/>
  <c r="B55" i="32"/>
  <c r="C55" i="32"/>
  <c r="D55" i="32"/>
  <c r="E55" i="32"/>
  <c r="B56" i="32"/>
  <c r="C56" i="32"/>
  <c r="D56" i="32"/>
  <c r="E56" i="32"/>
  <c r="B57" i="32"/>
  <c r="C57" i="32"/>
  <c r="D57" i="32"/>
  <c r="E57" i="32"/>
  <c r="B58" i="32"/>
  <c r="C58" i="32"/>
  <c r="D58" i="32"/>
  <c r="E58" i="32"/>
  <c r="B59" i="32"/>
  <c r="C59" i="32"/>
  <c r="D59" i="32"/>
  <c r="E59" i="32"/>
  <c r="B60" i="32"/>
  <c r="C60" i="32"/>
  <c r="D60" i="32"/>
  <c r="E60" i="32"/>
  <c r="B61" i="32"/>
  <c r="C61" i="32"/>
  <c r="D61" i="32"/>
  <c r="E61" i="32"/>
  <c r="B62" i="32"/>
  <c r="C62" i="32"/>
  <c r="D62" i="32"/>
  <c r="E62" i="32"/>
  <c r="B63" i="32"/>
  <c r="C63" i="32"/>
  <c r="D63" i="32"/>
  <c r="E63" i="32"/>
  <c r="B64" i="32"/>
  <c r="C64" i="32"/>
  <c r="D64" i="32"/>
  <c r="E64" i="32"/>
  <c r="B65" i="32"/>
  <c r="C65" i="32"/>
  <c r="D65" i="32"/>
  <c r="E65" i="32"/>
  <c r="B66" i="32"/>
  <c r="C66" i="32"/>
  <c r="D66" i="32"/>
  <c r="E66" i="32"/>
  <c r="B67" i="32"/>
  <c r="C67" i="32"/>
  <c r="D67" i="32"/>
  <c r="E67" i="32"/>
  <c r="B68" i="32"/>
  <c r="C68" i="32"/>
  <c r="D68" i="32"/>
  <c r="E68" i="32"/>
  <c r="B69" i="32"/>
  <c r="C69" i="32"/>
  <c r="D69" i="32"/>
  <c r="E69" i="32"/>
  <c r="B70" i="32"/>
  <c r="C70" i="32"/>
  <c r="D70" i="32"/>
  <c r="E70" i="32"/>
  <c r="B71" i="32"/>
  <c r="C71" i="32"/>
  <c r="D71" i="32"/>
  <c r="E71" i="32"/>
  <c r="B72" i="32"/>
  <c r="C72" i="32"/>
  <c r="D72" i="32"/>
  <c r="E72" i="32"/>
  <c r="B73" i="32"/>
  <c r="C73" i="32"/>
  <c r="D73" i="32"/>
  <c r="E73" i="32"/>
  <c r="B74" i="32"/>
  <c r="C74" i="32"/>
  <c r="D74" i="32"/>
  <c r="E74" i="32"/>
  <c r="B75" i="32"/>
  <c r="C75" i="32"/>
  <c r="D75" i="32"/>
  <c r="E75" i="32"/>
  <c r="B76" i="32"/>
  <c r="C76" i="32"/>
  <c r="D76" i="32"/>
  <c r="E76" i="32"/>
  <c r="B77" i="32"/>
  <c r="C77" i="32"/>
  <c r="D77" i="32"/>
  <c r="E77" i="32"/>
  <c r="B78" i="32"/>
  <c r="C78" i="32"/>
  <c r="D78" i="32"/>
  <c r="E78" i="32"/>
  <c r="B79" i="32"/>
  <c r="C79" i="32"/>
  <c r="D79" i="32"/>
  <c r="E79" i="32"/>
  <c r="B80" i="32"/>
  <c r="C80" i="32"/>
  <c r="D80" i="32"/>
  <c r="E80" i="32"/>
  <c r="B81" i="32"/>
  <c r="C81" i="32"/>
  <c r="D81" i="32"/>
  <c r="E81" i="32"/>
  <c r="B82" i="32"/>
  <c r="C82" i="32"/>
  <c r="D82" i="32"/>
  <c r="E82" i="32"/>
  <c r="B83" i="32"/>
  <c r="C83" i="32"/>
  <c r="D83" i="32"/>
  <c r="E83" i="32"/>
  <c r="B84" i="32"/>
  <c r="C84" i="32"/>
  <c r="D84" i="32"/>
  <c r="E84" i="32"/>
  <c r="B85" i="32"/>
  <c r="C85" i="32"/>
  <c r="D85" i="32"/>
  <c r="E85" i="32"/>
  <c r="B86" i="32"/>
  <c r="C86" i="32"/>
  <c r="D86" i="32"/>
  <c r="E86" i="32"/>
  <c r="B87" i="32"/>
  <c r="C87" i="32"/>
  <c r="D87" i="32"/>
  <c r="E87" i="32"/>
  <c r="B88" i="32"/>
  <c r="C88" i="32"/>
  <c r="D88" i="32"/>
  <c r="E88" i="32"/>
  <c r="B89" i="32"/>
  <c r="C89" i="32"/>
  <c r="D89" i="32"/>
  <c r="E89" i="32"/>
  <c r="B90" i="32"/>
  <c r="C90" i="32"/>
  <c r="D90" i="32"/>
  <c r="E90" i="32"/>
  <c r="B91" i="32"/>
  <c r="C91" i="32"/>
  <c r="D91" i="32"/>
  <c r="E91" i="32"/>
  <c r="B92" i="32"/>
  <c r="C92" i="32"/>
  <c r="D92" i="32"/>
  <c r="E92" i="32"/>
  <c r="B93" i="32"/>
  <c r="C93" i="32"/>
  <c r="D93" i="32"/>
  <c r="E93" i="32"/>
  <c r="B94" i="32"/>
  <c r="C94" i="32"/>
  <c r="D94" i="32"/>
  <c r="E94" i="32"/>
  <c r="B95" i="32"/>
  <c r="C95" i="32"/>
  <c r="D95" i="32"/>
  <c r="E95" i="32"/>
  <c r="B96" i="32"/>
  <c r="C96" i="32"/>
  <c r="D96" i="32"/>
  <c r="E96" i="32"/>
  <c r="B97" i="32"/>
  <c r="C97" i="32"/>
  <c r="D97" i="32"/>
  <c r="E97" i="32"/>
  <c r="B98" i="32"/>
  <c r="C98" i="32"/>
  <c r="D98" i="32"/>
  <c r="E98" i="32"/>
  <c r="B99" i="32"/>
  <c r="C99" i="32"/>
  <c r="D99" i="32"/>
  <c r="E99" i="32"/>
  <c r="B100" i="32"/>
  <c r="C100" i="32"/>
  <c r="D100" i="32"/>
  <c r="E100" i="32"/>
  <c r="B101" i="32"/>
  <c r="C101" i="32"/>
  <c r="D101" i="32"/>
  <c r="E101" i="32"/>
  <c r="B102" i="32"/>
  <c r="C102" i="32"/>
  <c r="D102" i="32"/>
  <c r="E102" i="32"/>
  <c r="B103" i="32"/>
  <c r="C103" i="32"/>
  <c r="D103" i="32"/>
  <c r="E103" i="32"/>
  <c r="B104" i="32"/>
  <c r="C104" i="32"/>
  <c r="D104" i="32"/>
  <c r="E104" i="32"/>
  <c r="B105" i="32"/>
  <c r="C105" i="32"/>
  <c r="D105" i="32"/>
  <c r="E105" i="32"/>
  <c r="B106" i="32"/>
  <c r="C106" i="32"/>
  <c r="D106" i="32"/>
  <c r="E106" i="32"/>
  <c r="B107" i="32"/>
  <c r="C107" i="32"/>
  <c r="D107" i="32"/>
  <c r="E107" i="32"/>
  <c r="B108" i="32"/>
  <c r="C108" i="32"/>
  <c r="D108" i="32"/>
  <c r="E108" i="32"/>
  <c r="B109" i="32"/>
  <c r="C109" i="32"/>
  <c r="D109" i="32"/>
  <c r="E109" i="32"/>
  <c r="B110" i="32"/>
  <c r="C110" i="32"/>
  <c r="D110" i="32"/>
  <c r="E110" i="32"/>
  <c r="B111" i="32"/>
  <c r="C111" i="32"/>
  <c r="D111" i="32"/>
  <c r="E111" i="32"/>
  <c r="B112" i="32"/>
  <c r="C112" i="32"/>
  <c r="D112" i="32"/>
  <c r="E112" i="32"/>
  <c r="B113" i="32"/>
  <c r="C113" i="32"/>
  <c r="D113" i="32"/>
  <c r="E113" i="32"/>
  <c r="B114" i="32"/>
  <c r="C114" i="32"/>
  <c r="D114" i="32"/>
  <c r="E114" i="32"/>
  <c r="B115" i="32"/>
  <c r="C115" i="32"/>
  <c r="D115" i="32"/>
  <c r="E115" i="32"/>
  <c r="B116" i="32"/>
  <c r="C116" i="32"/>
  <c r="D116" i="32"/>
  <c r="E116" i="32"/>
  <c r="B117" i="32"/>
  <c r="C117" i="32"/>
  <c r="D117" i="32"/>
  <c r="E117" i="32"/>
  <c r="B118" i="32"/>
  <c r="C118" i="32"/>
  <c r="D118" i="32"/>
  <c r="E118" i="32"/>
  <c r="B119" i="32"/>
  <c r="C119" i="32"/>
  <c r="D119" i="32"/>
  <c r="E119" i="32"/>
  <c r="B120" i="32"/>
  <c r="C120" i="32"/>
  <c r="D120" i="32"/>
  <c r="E120" i="32"/>
  <c r="B121" i="32"/>
  <c r="C121" i="32"/>
  <c r="D121" i="32"/>
  <c r="E121" i="32"/>
  <c r="B122" i="32"/>
  <c r="C122" i="32"/>
  <c r="D122" i="32"/>
  <c r="E122" i="32"/>
  <c r="B123" i="32"/>
  <c r="C123" i="32"/>
  <c r="D123" i="32"/>
  <c r="E123" i="32"/>
  <c r="B124" i="32"/>
  <c r="C124" i="32"/>
  <c r="D124" i="32"/>
  <c r="E124" i="32"/>
  <c r="B125" i="32"/>
  <c r="C125" i="32"/>
  <c r="D125" i="32"/>
  <c r="E125" i="32"/>
  <c r="B126" i="32"/>
  <c r="C126" i="32"/>
  <c r="D126" i="32"/>
  <c r="E126" i="32"/>
  <c r="B127" i="32"/>
  <c r="C127" i="32"/>
  <c r="D127" i="32"/>
  <c r="E127" i="32"/>
  <c r="B128" i="32"/>
  <c r="C128" i="32"/>
  <c r="D128" i="32"/>
  <c r="E128" i="32"/>
  <c r="B129" i="32"/>
  <c r="C129" i="32"/>
  <c r="D129" i="32"/>
  <c r="E129" i="32"/>
  <c r="B130" i="32"/>
  <c r="C130" i="32"/>
  <c r="D130" i="32"/>
  <c r="E130" i="32"/>
  <c r="B131" i="32"/>
  <c r="C131" i="32"/>
  <c r="D131" i="32"/>
  <c r="E131" i="32"/>
  <c r="B132" i="32"/>
  <c r="C132" i="32"/>
  <c r="D132" i="32"/>
  <c r="E132" i="32"/>
  <c r="B133" i="32"/>
  <c r="C133" i="32"/>
  <c r="D133" i="32"/>
  <c r="E133" i="32"/>
  <c r="B134" i="32"/>
  <c r="C134" i="32"/>
  <c r="D134" i="32"/>
  <c r="E134" i="32"/>
  <c r="B135" i="32"/>
  <c r="C135" i="32"/>
  <c r="D135" i="32"/>
  <c r="E135" i="32"/>
  <c r="B136" i="32"/>
  <c r="C136" i="32"/>
  <c r="D136" i="32"/>
  <c r="E136" i="32"/>
  <c r="B137" i="32"/>
  <c r="C137" i="32"/>
  <c r="D137" i="32"/>
  <c r="E137" i="32"/>
  <c r="B138" i="32"/>
  <c r="C138" i="32"/>
  <c r="D138" i="32"/>
  <c r="E138" i="32"/>
  <c r="B139" i="32"/>
  <c r="C139" i="32"/>
  <c r="D139" i="32"/>
  <c r="E139" i="32"/>
  <c r="B140" i="32"/>
  <c r="C140" i="32"/>
  <c r="D140" i="32"/>
  <c r="E140" i="32"/>
  <c r="B141" i="32"/>
  <c r="C141" i="32"/>
  <c r="D141" i="32"/>
  <c r="E141" i="32"/>
  <c r="B142" i="32"/>
  <c r="C142" i="32"/>
  <c r="D142" i="32"/>
  <c r="E142" i="32"/>
  <c r="B143" i="32"/>
  <c r="C143" i="32"/>
  <c r="D143" i="32"/>
  <c r="E143" i="32"/>
  <c r="B144" i="32"/>
  <c r="C144" i="32"/>
  <c r="D144" i="32"/>
  <c r="E144" i="32"/>
  <c r="B145" i="32"/>
  <c r="C145" i="32"/>
  <c r="D145" i="32"/>
  <c r="E145" i="32"/>
  <c r="B146" i="32"/>
  <c r="C146" i="32"/>
  <c r="D146" i="32"/>
  <c r="E146" i="32"/>
  <c r="B147" i="32"/>
  <c r="C147" i="32"/>
  <c r="D147" i="32"/>
  <c r="E147" i="32"/>
  <c r="B148" i="32"/>
  <c r="C148" i="32"/>
  <c r="D148" i="32"/>
  <c r="E148" i="32"/>
  <c r="B149" i="32"/>
  <c r="C149" i="32"/>
  <c r="D149" i="32"/>
  <c r="E149" i="32"/>
  <c r="B150" i="32"/>
  <c r="C150" i="32"/>
  <c r="D150" i="32"/>
  <c r="E150" i="32"/>
  <c r="B151" i="32"/>
  <c r="C151" i="32"/>
  <c r="D151" i="32"/>
  <c r="E151" i="32"/>
  <c r="B152" i="32"/>
  <c r="C152" i="32"/>
  <c r="D152" i="32"/>
  <c r="E152" i="32"/>
  <c r="B153" i="32"/>
  <c r="C153" i="32"/>
  <c r="D153" i="32"/>
  <c r="E153" i="32"/>
  <c r="B154" i="32"/>
  <c r="C154" i="32"/>
  <c r="D154" i="32"/>
  <c r="E154" i="32"/>
  <c r="B155" i="32"/>
  <c r="C155" i="32"/>
  <c r="D155" i="32"/>
  <c r="E155" i="32"/>
  <c r="B156" i="32"/>
  <c r="C156" i="32"/>
  <c r="D156" i="32"/>
  <c r="E156" i="32"/>
  <c r="B157" i="32"/>
  <c r="C157" i="32"/>
  <c r="D157" i="32"/>
  <c r="E157" i="32"/>
  <c r="B158" i="32"/>
  <c r="C158" i="32"/>
  <c r="D158" i="32"/>
  <c r="E158" i="32"/>
  <c r="B159" i="32"/>
  <c r="C159" i="32"/>
  <c r="D159" i="32"/>
  <c r="E159" i="32"/>
  <c r="B160" i="32"/>
  <c r="C160" i="32"/>
  <c r="D160" i="32"/>
  <c r="E160" i="32"/>
  <c r="B161" i="32"/>
  <c r="C161" i="32"/>
  <c r="D161" i="32"/>
  <c r="E161" i="32"/>
  <c r="B162" i="32"/>
  <c r="C162" i="32"/>
  <c r="D162" i="32"/>
  <c r="E162" i="32"/>
  <c r="B163" i="32"/>
  <c r="C163" i="32"/>
  <c r="D163" i="32"/>
  <c r="E163" i="32"/>
  <c r="B164" i="32"/>
  <c r="C164" i="32"/>
  <c r="D164" i="32"/>
  <c r="E164" i="32"/>
  <c r="B165" i="32"/>
  <c r="C165" i="32"/>
  <c r="D165" i="32"/>
  <c r="E165" i="32"/>
  <c r="B166" i="32"/>
  <c r="C166" i="32"/>
  <c r="D166" i="32"/>
  <c r="E166" i="32"/>
  <c r="B167" i="32"/>
  <c r="C167" i="32"/>
  <c r="D167" i="32"/>
  <c r="E167" i="32"/>
  <c r="B168" i="32"/>
  <c r="C168" i="32"/>
  <c r="D168" i="32"/>
  <c r="E168" i="32"/>
  <c r="E34" i="32"/>
  <c r="D34" i="32"/>
  <c r="C34" i="32"/>
  <c r="O33" i="39" l="1"/>
  <c r="M33" i="39"/>
  <c r="O33" i="32"/>
  <c r="M33" i="32"/>
  <c r="A6" i="40"/>
  <c r="B6" i="40" s="1"/>
  <c r="A7" i="40" s="1"/>
  <c r="B7" i="40" s="1"/>
  <c r="A8" i="40" s="1"/>
  <c r="B8" i="40" s="1"/>
  <c r="A9" i="40" s="1"/>
  <c r="B9" i="40" s="1"/>
  <c r="A10" i="40" s="1"/>
  <c r="B10" i="40" s="1"/>
  <c r="A11" i="40" s="1"/>
  <c r="B11" i="40" s="1"/>
  <c r="A12" i="40" s="1"/>
  <c r="B12" i="40" s="1"/>
  <c r="A13" i="40" s="1"/>
  <c r="B13" i="40" s="1"/>
  <c r="A14" i="40" s="1"/>
  <c r="B14" i="40" s="1"/>
  <c r="A15" i="40" s="1"/>
  <c r="B15" i="40" s="1"/>
  <c r="A16" i="40" s="1"/>
  <c r="B16" i="40" s="1"/>
  <c r="A17" i="40" s="1"/>
  <c r="B17" i="40" s="1"/>
  <c r="A18" i="40" s="1"/>
  <c r="B18" i="40" s="1"/>
  <c r="A19" i="40" s="1"/>
  <c r="B19" i="40" s="1"/>
  <c r="A20" i="40" s="1"/>
  <c r="B20" i="40" s="1"/>
  <c r="A21" i="40" s="1"/>
  <c r="B21" i="40" s="1"/>
  <c r="A22" i="40" s="1"/>
  <c r="B22" i="40" s="1"/>
  <c r="A23" i="40" s="1"/>
  <c r="B23" i="40" s="1"/>
  <c r="A24" i="40" s="1"/>
  <c r="B24" i="40" s="1"/>
  <c r="A25" i="40" s="1"/>
  <c r="B25" i="40" s="1"/>
  <c r="A26" i="40" s="1"/>
  <c r="B26" i="40" s="1"/>
  <c r="A27" i="40" s="1"/>
  <c r="B27" i="40" s="1"/>
  <c r="A28" i="40" s="1"/>
  <c r="B28" i="40" s="1"/>
  <c r="A29" i="40" s="1"/>
  <c r="B29" i="40" s="1"/>
  <c r="A30" i="40" s="1"/>
  <c r="B30" i="40" s="1"/>
  <c r="K111" i="32"/>
  <c r="K112" i="32"/>
  <c r="K113" i="32"/>
  <c r="K114" i="32"/>
  <c r="K115" i="32"/>
  <c r="K116" i="32"/>
  <c r="K117" i="32"/>
  <c r="K118" i="32"/>
  <c r="K119" i="32"/>
  <c r="K120" i="32"/>
  <c r="K121" i="32"/>
  <c r="K122" i="32"/>
  <c r="K123" i="32"/>
  <c r="K124" i="32"/>
  <c r="K125" i="32"/>
  <c r="K126" i="32"/>
  <c r="K127" i="32"/>
  <c r="K128" i="32"/>
  <c r="K129" i="32"/>
  <c r="K130" i="32"/>
  <c r="K131" i="32"/>
  <c r="K132" i="32"/>
  <c r="K133" i="32"/>
  <c r="K134" i="32"/>
  <c r="K135" i="32"/>
  <c r="K136" i="32"/>
  <c r="K137" i="32"/>
  <c r="K138" i="32"/>
  <c r="K139" i="32"/>
  <c r="K140" i="32"/>
  <c r="K141" i="32"/>
  <c r="K142" i="32"/>
  <c r="K143" i="32"/>
  <c r="K144" i="32"/>
  <c r="K145" i="32"/>
  <c r="K146" i="32"/>
  <c r="K147" i="32"/>
  <c r="K148" i="32"/>
  <c r="K149" i="32"/>
  <c r="K150" i="32"/>
  <c r="K151" i="32"/>
  <c r="K152" i="32"/>
  <c r="K153" i="32"/>
  <c r="K154" i="32"/>
  <c r="K155" i="32"/>
  <c r="K156" i="32"/>
  <c r="K157" i="32"/>
  <c r="K158" i="32"/>
  <c r="K159" i="32"/>
  <c r="K160" i="32"/>
  <c r="K161" i="32"/>
  <c r="K162" i="32"/>
  <c r="K163" i="32"/>
  <c r="K164" i="32"/>
  <c r="K165" i="32"/>
  <c r="K166" i="32"/>
  <c r="K167" i="32"/>
  <c r="K168" i="32"/>
  <c r="K106" i="39"/>
  <c r="K107" i="39"/>
  <c r="K108" i="39"/>
  <c r="K109" i="39"/>
  <c r="K110" i="39"/>
  <c r="K111" i="39"/>
  <c r="K113" i="39"/>
  <c r="K114" i="39"/>
  <c r="K116" i="39"/>
  <c r="K118" i="39"/>
  <c r="K119" i="39"/>
  <c r="K121" i="39"/>
  <c r="K122" i="39"/>
  <c r="K123" i="39"/>
  <c r="K124" i="39"/>
  <c r="K126" i="39"/>
  <c r="K128" i="39"/>
  <c r="K129" i="39"/>
  <c r="K131" i="39"/>
  <c r="K133" i="39"/>
  <c r="K134" i="39"/>
  <c r="K135" i="39"/>
  <c r="K137" i="39"/>
  <c r="K139" i="39"/>
  <c r="K140" i="39"/>
  <c r="K142" i="39"/>
  <c r="K144" i="39"/>
  <c r="K145" i="39"/>
  <c r="K147" i="39"/>
  <c r="K148" i="39"/>
  <c r="K149" i="39"/>
  <c r="K150" i="39"/>
  <c r="K152" i="39"/>
  <c r="K153" i="39"/>
  <c r="K155" i="39"/>
  <c r="K156" i="39"/>
  <c r="K157" i="39"/>
  <c r="K158" i="39"/>
  <c r="K159" i="39"/>
  <c r="K160" i="39"/>
  <c r="K161" i="39"/>
  <c r="K162" i="39"/>
  <c r="K163" i="39"/>
  <c r="K164" i="39"/>
  <c r="K165" i="39"/>
  <c r="K166" i="39"/>
  <c r="K167" i="39"/>
  <c r="K168" i="39"/>
  <c r="K35" i="39"/>
  <c r="K36" i="39"/>
  <c r="K37" i="39"/>
  <c r="K39" i="39"/>
  <c r="K41" i="39"/>
  <c r="K42" i="39"/>
  <c r="K44" i="39"/>
  <c r="K45" i="39"/>
  <c r="K46" i="39"/>
  <c r="K48" i="39"/>
  <c r="K49" i="39"/>
  <c r="K50" i="39"/>
  <c r="K52" i="39"/>
  <c r="K53" i="39"/>
  <c r="K54" i="39"/>
  <c r="K55" i="39"/>
  <c r="K56" i="39"/>
  <c r="K57" i="39"/>
  <c r="K59" i="39"/>
  <c r="K60" i="39"/>
  <c r="K61" i="39"/>
  <c r="K63" i="39"/>
  <c r="K64" i="39"/>
  <c r="K65" i="39"/>
  <c r="K67" i="39"/>
  <c r="K69" i="39"/>
  <c r="K71" i="39"/>
  <c r="K72" i="39"/>
  <c r="K74" i="39"/>
  <c r="K75" i="39"/>
  <c r="K76" i="39"/>
  <c r="K77" i="39"/>
  <c r="K78" i="39"/>
  <c r="K79" i="39"/>
  <c r="K81" i="39"/>
  <c r="K83" i="39"/>
  <c r="K84" i="39"/>
  <c r="K86" i="39"/>
  <c r="K87" i="39"/>
  <c r="K88" i="39"/>
  <c r="K90" i="39"/>
  <c r="K91" i="39"/>
  <c r="K92" i="39"/>
  <c r="K94" i="39"/>
  <c r="K95" i="39"/>
  <c r="K96" i="39"/>
  <c r="K97" i="39"/>
  <c r="K98" i="39"/>
  <c r="K100" i="39"/>
  <c r="K102" i="39"/>
  <c r="K104" i="39"/>
  <c r="K89" i="32"/>
  <c r="K110" i="32"/>
  <c r="K109" i="32"/>
  <c r="K108" i="32"/>
  <c r="K107" i="32"/>
  <c r="K106" i="32"/>
  <c r="K105" i="32"/>
  <c r="K104" i="32"/>
  <c r="K103" i="32"/>
  <c r="K102" i="32"/>
  <c r="K101" i="32"/>
  <c r="K47" i="32"/>
  <c r="K65" i="32"/>
  <c r="K74" i="32"/>
  <c r="K84" i="32"/>
  <c r="K85" i="32"/>
  <c r="B63" i="4" l="1"/>
  <c r="B63" i="36"/>
  <c r="B63" i="42"/>
  <c r="B50" i="42" l="1"/>
  <c r="K94" i="32" l="1"/>
  <c r="K95" i="32"/>
  <c r="K96" i="32"/>
  <c r="K97" i="32"/>
  <c r="K98" i="32"/>
  <c r="K99" i="32"/>
  <c r="K100" i="32"/>
  <c r="K63" i="32" l="1"/>
  <c r="A1" i="4"/>
  <c r="K92" i="32"/>
  <c r="K50" i="32"/>
  <c r="B50" i="36" l="1"/>
  <c r="A1" i="36"/>
  <c r="K82" i="32"/>
  <c r="K70" i="32"/>
  <c r="K86" i="32"/>
  <c r="K80" i="32"/>
  <c r="K75" i="32"/>
  <c r="K73" i="32" l="1"/>
  <c r="B51" i="4"/>
  <c r="K58" i="32" l="1"/>
  <c r="K43" i="32" l="1"/>
  <c r="K93" i="32"/>
  <c r="K38" i="32"/>
  <c r="K45" i="32"/>
  <c r="K44" i="32"/>
  <c r="K56" i="32"/>
  <c r="K91" i="32"/>
  <c r="K90" i="32"/>
  <c r="K88" i="32"/>
  <c r="K87" i="32"/>
  <c r="K36" i="32"/>
  <c r="K37" i="32"/>
  <c r="K41" i="32"/>
  <c r="K54" i="32"/>
  <c r="K49" i="32"/>
  <c r="K48" i="32"/>
  <c r="K81" i="32"/>
  <c r="K79" i="32"/>
  <c r="K35" i="32"/>
  <c r="K34" i="32"/>
  <c r="K78" i="32"/>
  <c r="K77" i="32"/>
  <c r="K76" i="32"/>
  <c r="K55" i="32"/>
  <c r="K83" i="32"/>
  <c r="K72" i="32"/>
  <c r="K42" i="32"/>
  <c r="K71" i="32"/>
  <c r="K64" i="32"/>
  <c r="K62" i="32"/>
  <c r="K40" i="32"/>
  <c r="K69" i="32"/>
  <c r="K68" i="32"/>
  <c r="K67" i="32"/>
  <c r="K53" i="32"/>
  <c r="K52" i="32"/>
  <c r="K51" i="32"/>
  <c r="K66" i="32"/>
  <c r="K46" i="32"/>
  <c r="K61" i="32"/>
  <c r="K60" i="32"/>
  <c r="K59" i="32"/>
  <c r="K57" i="32"/>
  <c r="K39" i="32"/>
  <c r="E141" i="39" l="1"/>
  <c r="P141" i="39"/>
  <c r="D141" i="39"/>
  <c r="R141" i="39"/>
  <c r="N141" i="39" s="1"/>
  <c r="C141" i="39"/>
  <c r="K141" i="39"/>
  <c r="B141" i="39"/>
  <c r="E132" i="39"/>
  <c r="D132" i="39"/>
  <c r="R132" i="39"/>
  <c r="N132" i="39" s="1"/>
  <c r="C132" i="39"/>
  <c r="P132" i="39"/>
  <c r="K132" i="39"/>
  <c r="B132" i="39"/>
  <c r="E120" i="39"/>
  <c r="D120" i="39"/>
  <c r="R120" i="39"/>
  <c r="N120" i="39" s="1"/>
  <c r="C120" i="39"/>
  <c r="P120" i="39"/>
  <c r="K120" i="39"/>
  <c r="B120" i="39"/>
  <c r="E99" i="39"/>
  <c r="D99" i="39"/>
  <c r="C99" i="39"/>
  <c r="B99" i="39"/>
  <c r="R99" i="39"/>
  <c r="N99" i="39" s="1"/>
  <c r="K99" i="39"/>
  <c r="P99" i="39"/>
  <c r="E51" i="39"/>
  <c r="D51" i="39"/>
  <c r="C51" i="39"/>
  <c r="B51" i="39"/>
  <c r="R51" i="39"/>
  <c r="N51" i="39" s="1"/>
  <c r="K51" i="39"/>
  <c r="P51" i="39"/>
  <c r="E143" i="39"/>
  <c r="R143" i="39"/>
  <c r="N143" i="39" s="1"/>
  <c r="D143" i="39"/>
  <c r="C143" i="39"/>
  <c r="P143" i="39"/>
  <c r="K143" i="39"/>
  <c r="B143" i="39"/>
  <c r="R80" i="39"/>
  <c r="N80" i="39" s="1"/>
  <c r="P80" i="39"/>
  <c r="E80" i="39"/>
  <c r="D80" i="39"/>
  <c r="C80" i="39"/>
  <c r="K80" i="39"/>
  <c r="B80" i="39"/>
  <c r="R68" i="39"/>
  <c r="N68" i="39" s="1"/>
  <c r="P68" i="39"/>
  <c r="E68" i="39"/>
  <c r="D68" i="39"/>
  <c r="C68" i="39"/>
  <c r="K68" i="39"/>
  <c r="B68" i="39"/>
  <c r="E47" i="39"/>
  <c r="R47" i="39"/>
  <c r="N47" i="39" s="1"/>
  <c r="D47" i="39"/>
  <c r="C47" i="39"/>
  <c r="P47" i="39"/>
  <c r="K47" i="39"/>
  <c r="B47" i="39"/>
  <c r="E138" i="39"/>
  <c r="D138" i="39"/>
  <c r="C138" i="39"/>
  <c r="B138" i="39"/>
  <c r="R138" i="39"/>
  <c r="N138" i="39" s="1"/>
  <c r="K138" i="39"/>
  <c r="P138" i="39"/>
  <c r="E66" i="39"/>
  <c r="D66" i="39"/>
  <c r="R66" i="39"/>
  <c r="N66" i="39" s="1"/>
  <c r="C66" i="39"/>
  <c r="B66" i="39"/>
  <c r="K66" i="39"/>
  <c r="P66" i="39"/>
  <c r="R38" i="39"/>
  <c r="N38" i="39" s="1"/>
  <c r="E38" i="39"/>
  <c r="D38" i="39"/>
  <c r="C38" i="39"/>
  <c r="B38" i="39"/>
  <c r="K38" i="39"/>
  <c r="P38" i="39"/>
  <c r="E146" i="39"/>
  <c r="D146" i="39"/>
  <c r="C146" i="39"/>
  <c r="B146" i="39"/>
  <c r="P146" i="39"/>
  <c r="K146" i="39"/>
  <c r="R146" i="39"/>
  <c r="N146" i="39" s="1"/>
  <c r="E62" i="39"/>
  <c r="D62" i="39"/>
  <c r="C62" i="39"/>
  <c r="B62" i="39"/>
  <c r="P62" i="39"/>
  <c r="K62" i="39"/>
  <c r="R62" i="39"/>
  <c r="N62" i="39" s="1"/>
  <c r="P125" i="39"/>
  <c r="E125" i="39"/>
  <c r="D125" i="39"/>
  <c r="C125" i="39"/>
  <c r="B125" i="39"/>
  <c r="K125" i="39"/>
  <c r="R125" i="39"/>
  <c r="N125" i="39" s="1"/>
  <c r="E117" i="39"/>
  <c r="P117" i="39"/>
  <c r="D117" i="39"/>
  <c r="C117" i="39"/>
  <c r="B117" i="39"/>
  <c r="K117" i="39"/>
  <c r="R117" i="39"/>
  <c r="N117" i="39" s="1"/>
  <c r="E105" i="39"/>
  <c r="P105" i="39"/>
  <c r="D105" i="39"/>
  <c r="C105" i="39"/>
  <c r="B105" i="39"/>
  <c r="K105" i="39"/>
  <c r="R105" i="39"/>
  <c r="N105" i="39" s="1"/>
  <c r="P101" i="39"/>
  <c r="E101" i="39"/>
  <c r="D101" i="39"/>
  <c r="C101" i="39"/>
  <c r="B101" i="39"/>
  <c r="K101" i="39"/>
  <c r="R101" i="39"/>
  <c r="N101" i="39" s="1"/>
  <c r="E93" i="39"/>
  <c r="P93" i="39"/>
  <c r="D93" i="39"/>
  <c r="C93" i="39"/>
  <c r="B93" i="39"/>
  <c r="K93" i="39"/>
  <c r="R93" i="39"/>
  <c r="N93" i="39" s="1"/>
  <c r="P89" i="39"/>
  <c r="E89" i="39"/>
  <c r="D89" i="39"/>
  <c r="C89" i="39"/>
  <c r="B89" i="39"/>
  <c r="K89" i="39"/>
  <c r="R89" i="39"/>
  <c r="N89" i="39" s="1"/>
  <c r="B34" i="39"/>
  <c r="R34" i="39"/>
  <c r="N34" i="39" s="1"/>
  <c r="C34" i="39"/>
  <c r="P34" i="39"/>
  <c r="D34" i="39"/>
  <c r="K34" i="39"/>
  <c r="E34" i="39"/>
  <c r="R154" i="39"/>
  <c r="N154" i="39" s="1"/>
  <c r="D154" i="39"/>
  <c r="E154" i="39"/>
  <c r="P154" i="39"/>
  <c r="C154" i="39"/>
  <c r="K154" i="39"/>
  <c r="B154" i="39"/>
  <c r="E151" i="39"/>
  <c r="R151" i="39"/>
  <c r="N151" i="39" s="1"/>
  <c r="P151" i="39"/>
  <c r="D151" i="39"/>
  <c r="C151" i="39"/>
  <c r="K151" i="39"/>
  <c r="B151" i="39"/>
  <c r="R136" i="39"/>
  <c r="N136" i="39" s="1"/>
  <c r="P136" i="39"/>
  <c r="D136" i="39"/>
  <c r="E136" i="39"/>
  <c r="C136" i="39"/>
  <c r="K136" i="39"/>
  <c r="B136" i="39"/>
  <c r="R130" i="39"/>
  <c r="N130" i="39" s="1"/>
  <c r="E130" i="39"/>
  <c r="D130" i="39"/>
  <c r="P130" i="39"/>
  <c r="C130" i="39"/>
  <c r="K130" i="39"/>
  <c r="B130" i="39"/>
  <c r="E127" i="39"/>
  <c r="R127" i="39"/>
  <c r="N127" i="39" s="1"/>
  <c r="P127" i="39"/>
  <c r="D127" i="39"/>
  <c r="C127" i="39"/>
  <c r="K127" i="39"/>
  <c r="B127" i="39"/>
  <c r="R115" i="39"/>
  <c r="N115" i="39" s="1"/>
  <c r="P115" i="39"/>
  <c r="E115" i="39"/>
  <c r="D115" i="39"/>
  <c r="C115" i="39"/>
  <c r="K115" i="39"/>
  <c r="B115" i="39"/>
  <c r="R112" i="39"/>
  <c r="N112" i="39" s="1"/>
  <c r="P112" i="39"/>
  <c r="E112" i="39"/>
  <c r="D112" i="39"/>
  <c r="C112" i="39"/>
  <c r="K112" i="39"/>
  <c r="B112" i="39"/>
  <c r="E103" i="39"/>
  <c r="R103" i="39"/>
  <c r="N103" i="39" s="1"/>
  <c r="P103" i="39"/>
  <c r="D103" i="39"/>
  <c r="C103" i="39"/>
  <c r="K103" i="39"/>
  <c r="B103" i="39"/>
  <c r="P85" i="39"/>
  <c r="E85" i="39"/>
  <c r="D85" i="39"/>
  <c r="C85" i="39"/>
  <c r="R85" i="39"/>
  <c r="N85" i="39" s="1"/>
  <c r="K85" i="39"/>
  <c r="B85" i="39"/>
  <c r="R82" i="39"/>
  <c r="N82" i="39" s="1"/>
  <c r="E82" i="39"/>
  <c r="D82" i="39"/>
  <c r="P82" i="39"/>
  <c r="C82" i="39"/>
  <c r="K82" i="39"/>
  <c r="B82" i="39"/>
  <c r="P73" i="39"/>
  <c r="E73" i="39"/>
  <c r="D73" i="39"/>
  <c r="C73" i="39"/>
  <c r="R73" i="39"/>
  <c r="N73" i="39" s="1"/>
  <c r="K73" i="39"/>
  <c r="B73" i="39"/>
  <c r="R70" i="39"/>
  <c r="N70" i="39" s="1"/>
  <c r="E70" i="39"/>
  <c r="D70" i="39"/>
  <c r="P70" i="39"/>
  <c r="C70" i="39"/>
  <c r="K70" i="39"/>
  <c r="B70" i="39"/>
  <c r="R58" i="39"/>
  <c r="N58" i="39" s="1"/>
  <c r="E58" i="39"/>
  <c r="D58" i="39"/>
  <c r="P58" i="39"/>
  <c r="C58" i="39"/>
  <c r="K58" i="39"/>
  <c r="B58" i="39"/>
  <c r="R43" i="39"/>
  <c r="N43" i="39" s="1"/>
  <c r="P43" i="39"/>
  <c r="E43" i="39"/>
  <c r="D43" i="39"/>
  <c r="C43" i="39"/>
  <c r="K43" i="39"/>
  <c r="B43" i="39"/>
  <c r="R40" i="39"/>
  <c r="N40" i="39" s="1"/>
  <c r="P40" i="39"/>
  <c r="E40" i="39"/>
  <c r="D40" i="39"/>
  <c r="C40" i="39"/>
  <c r="K40" i="39"/>
  <c r="B40" i="39"/>
  <c r="C48" i="41"/>
  <c r="D48" i="41"/>
  <c r="E48" i="41"/>
  <c r="B48" i="41"/>
  <c r="D108" i="41"/>
  <c r="C108" i="41"/>
  <c r="B108" i="41"/>
  <c r="E108" i="41"/>
  <c r="B167" i="41"/>
  <c r="C167" i="41"/>
  <c r="D167" i="41"/>
  <c r="E167" i="41"/>
  <c r="B119" i="41"/>
  <c r="D119" i="41"/>
  <c r="C119" i="41"/>
  <c r="E119" i="41"/>
  <c r="E95" i="41"/>
  <c r="D95" i="41"/>
  <c r="C95" i="41"/>
  <c r="B95" i="41"/>
  <c r="B83" i="41"/>
  <c r="E83" i="41"/>
  <c r="D83" i="41"/>
  <c r="C83" i="41"/>
  <c r="B77" i="41"/>
  <c r="D77" i="41"/>
  <c r="C77" i="41"/>
  <c r="E77" i="41"/>
  <c r="C71" i="41"/>
  <c r="B71" i="41"/>
  <c r="E71" i="41"/>
  <c r="D71" i="41"/>
  <c r="D98" i="41"/>
  <c r="E98" i="41"/>
  <c r="C98" i="41"/>
  <c r="B98" i="41"/>
  <c r="B79" i="41"/>
  <c r="C79" i="41"/>
  <c r="E79" i="41"/>
  <c r="D79" i="41"/>
  <c r="C67" i="41"/>
  <c r="D67" i="41"/>
  <c r="B67" i="41"/>
  <c r="E67" i="41"/>
  <c r="E121" i="41"/>
  <c r="C121" i="41"/>
  <c r="B121" i="41"/>
  <c r="D121" i="41"/>
  <c r="B132" i="41"/>
  <c r="C132" i="41"/>
  <c r="E132" i="41"/>
  <c r="D132" i="41"/>
  <c r="C114" i="41"/>
  <c r="E114" i="41"/>
  <c r="B114" i="41"/>
  <c r="D114" i="41"/>
  <c r="C60" i="41"/>
  <c r="D60" i="41"/>
  <c r="E60" i="41"/>
  <c r="B60" i="41"/>
  <c r="C36" i="41"/>
  <c r="B36" i="41"/>
  <c r="D36" i="41"/>
  <c r="E36" i="41"/>
  <c r="E90" i="41"/>
  <c r="C90" i="41"/>
  <c r="B90" i="41"/>
  <c r="D90" i="41"/>
  <c r="C110" i="41"/>
  <c r="D110" i="41"/>
  <c r="B110" i="41"/>
  <c r="E110" i="41"/>
  <c r="B158" i="41"/>
  <c r="E158" i="41"/>
  <c r="C158" i="41"/>
  <c r="D158" i="41"/>
  <c r="B163" i="41"/>
  <c r="E163" i="41"/>
  <c r="D163" i="41"/>
  <c r="C163" i="41"/>
  <c r="B103" i="41"/>
  <c r="E103" i="41"/>
  <c r="D103" i="41"/>
  <c r="C103" i="41"/>
  <c r="B160" i="41"/>
  <c r="D160" i="41"/>
  <c r="C160" i="41"/>
  <c r="E160" i="41"/>
  <c r="C124" i="41"/>
  <c r="E124" i="41"/>
  <c r="B124" i="41"/>
  <c r="D124" i="41"/>
  <c r="B58" i="41"/>
  <c r="C58" i="41"/>
  <c r="D58" i="41"/>
  <c r="E58" i="41"/>
  <c r="B46" i="41"/>
  <c r="E46" i="41"/>
  <c r="C46" i="41"/>
  <c r="D46" i="41"/>
  <c r="C40" i="41"/>
  <c r="D40" i="41"/>
  <c r="E40" i="41"/>
  <c r="B40" i="41"/>
  <c r="D153" i="41"/>
  <c r="E153" i="41"/>
  <c r="B153" i="41"/>
  <c r="C153" i="41"/>
  <c r="D165" i="41"/>
  <c r="C165" i="41"/>
  <c r="E165" i="41"/>
  <c r="B165" i="41"/>
  <c r="C105" i="41"/>
  <c r="D105" i="41"/>
  <c r="B105" i="41"/>
  <c r="E105" i="41"/>
  <c r="D93" i="41"/>
  <c r="E93" i="41"/>
  <c r="B93" i="41"/>
  <c r="C93" i="41"/>
  <c r="D81" i="41"/>
  <c r="C81" i="41"/>
  <c r="E81" i="41"/>
  <c r="B81" i="41"/>
  <c r="C63" i="41"/>
  <c r="D63" i="41"/>
  <c r="E63" i="41"/>
  <c r="B63" i="41"/>
  <c r="C51" i="41"/>
  <c r="D51" i="41"/>
  <c r="E51" i="41"/>
  <c r="B51" i="41"/>
  <c r="E129" i="41"/>
  <c r="D129" i="41"/>
  <c r="C129" i="41"/>
  <c r="B129" i="41"/>
  <c r="C116" i="41"/>
  <c r="E116" i="41"/>
  <c r="B116" i="41"/>
  <c r="D116" i="41"/>
  <c r="D44" i="41"/>
  <c r="E44" i="41"/>
  <c r="C44" i="41"/>
  <c r="B44" i="41"/>
  <c r="N33" i="39" l="1"/>
  <c r="C83" i="30"/>
  <c r="B83" i="30"/>
  <c r="E83" i="30"/>
  <c r="D83" i="30"/>
  <c r="C90" i="30"/>
  <c r="E90" i="30"/>
  <c r="D90" i="30"/>
  <c r="B90" i="30"/>
  <c r="C98" i="30"/>
  <c r="E98" i="30"/>
  <c r="D98" i="30"/>
  <c r="B98" i="30"/>
  <c r="C95" i="30"/>
  <c r="B95" i="30"/>
  <c r="E95" i="30"/>
  <c r="D95" i="30"/>
  <c r="E153" i="30"/>
  <c r="C153" i="30"/>
  <c r="B153" i="30"/>
  <c r="D153" i="30"/>
  <c r="E132" i="30"/>
  <c r="C132" i="30"/>
  <c r="D132" i="30"/>
  <c r="B132" i="30"/>
  <c r="B167" i="30"/>
  <c r="E167" i="30"/>
  <c r="C167" i="30"/>
  <c r="D167" i="30"/>
  <c r="B36" i="30"/>
  <c r="C36" i="30"/>
  <c r="E36" i="30"/>
  <c r="D36" i="30"/>
  <c r="C71" i="30"/>
  <c r="E71" i="30"/>
  <c r="B71" i="30"/>
  <c r="D71" i="30"/>
  <c r="B46" i="30"/>
  <c r="D46" i="30"/>
  <c r="E46" i="30"/>
  <c r="C46" i="30"/>
  <c r="B58" i="30"/>
  <c r="E58" i="30"/>
  <c r="D58" i="30"/>
  <c r="C58" i="30"/>
  <c r="B44" i="30"/>
  <c r="E44" i="30"/>
  <c r="D44" i="30"/>
  <c r="C44" i="30"/>
  <c r="B67" i="30"/>
  <c r="E67" i="30"/>
  <c r="D67" i="30"/>
  <c r="C67" i="30"/>
  <c r="B51" i="30"/>
  <c r="E51" i="30"/>
  <c r="D51" i="30"/>
  <c r="C51" i="30"/>
  <c r="B40" i="30"/>
  <c r="E40" i="30"/>
  <c r="D40" i="30"/>
  <c r="C40" i="30"/>
  <c r="B63" i="30"/>
  <c r="C63" i="30"/>
  <c r="E63" i="30"/>
  <c r="D63" i="30"/>
  <c r="B48" i="30"/>
  <c r="C48" i="30"/>
  <c r="E48" i="30"/>
  <c r="D48" i="30"/>
  <c r="A38" i="39" l="1"/>
  <c r="A93" i="39"/>
  <c r="A43" i="39"/>
  <c r="A62" i="39"/>
  <c r="A138" i="39"/>
  <c r="A117" i="39"/>
  <c r="A136" i="39"/>
  <c r="A103" i="39"/>
  <c r="A130" i="39"/>
  <c r="A66" i="39"/>
  <c r="A70" i="39"/>
  <c r="A120" i="39"/>
  <c r="A47" i="39"/>
  <c r="A112" i="39"/>
  <c r="A105" i="39"/>
  <c r="A154" i="39"/>
  <c r="A101" i="39"/>
  <c r="A143" i="39"/>
  <c r="A146" i="39"/>
  <c r="A82" i="39"/>
  <c r="A40" i="39"/>
  <c r="A127" i="39"/>
  <c r="A125" i="39"/>
  <c r="A132" i="39"/>
  <c r="A141" i="39"/>
  <c r="A58" i="39"/>
  <c r="A73" i="39"/>
  <c r="A85" i="39"/>
  <c r="A80" i="39"/>
  <c r="A89" i="39"/>
  <c r="A115" i="39"/>
  <c r="A151" i="39"/>
  <c r="A99" i="39"/>
  <c r="B18" i="41"/>
  <c r="E18" i="41"/>
  <c r="D18" i="41"/>
  <c r="C18" i="41"/>
  <c r="B16" i="41"/>
  <c r="E16" i="41"/>
  <c r="D16" i="41"/>
  <c r="C16" i="41"/>
  <c r="C21" i="41"/>
  <c r="B21" i="41"/>
  <c r="D21" i="41"/>
  <c r="E21" i="41"/>
  <c r="E12" i="41"/>
  <c r="A86" i="39"/>
  <c r="A160" i="39"/>
  <c r="A135" i="39"/>
  <c r="A100" i="39"/>
  <c r="A98" i="39"/>
  <c r="A95" i="39"/>
  <c r="B12" i="41"/>
  <c r="A158" i="39"/>
  <c r="A87" i="39"/>
  <c r="A165" i="39"/>
  <c r="A102" i="39"/>
  <c r="A149" i="39"/>
  <c r="A88" i="39"/>
  <c r="A46" i="39"/>
  <c r="A61" i="39"/>
  <c r="A48" i="39"/>
  <c r="A94" i="39"/>
  <c r="A74" i="39"/>
  <c r="A78" i="39"/>
  <c r="A77" i="39"/>
  <c r="A96" i="39"/>
  <c r="A36" i="39"/>
  <c r="A126" i="39"/>
  <c r="A145" i="39"/>
  <c r="A157" i="39"/>
  <c r="A147" i="39"/>
  <c r="A37" i="39"/>
  <c r="H37" i="39" s="1"/>
  <c r="A119" i="39"/>
  <c r="A90" i="39"/>
  <c r="A64" i="39"/>
  <c r="A52" i="39"/>
  <c r="A137" i="39"/>
  <c r="A116" i="39"/>
  <c r="A156" i="39"/>
  <c r="A56" i="39"/>
  <c r="A53" i="39"/>
  <c r="A107" i="39"/>
  <c r="A124" i="39"/>
  <c r="A142" i="39"/>
  <c r="A104" i="39"/>
  <c r="A92" i="39"/>
  <c r="A57" i="39"/>
  <c r="A63" i="39"/>
  <c r="A166" i="39"/>
  <c r="A111" i="39"/>
  <c r="A139" i="39"/>
  <c r="A55" i="39"/>
  <c r="A42" i="39"/>
  <c r="A50" i="39"/>
  <c r="A162" i="39"/>
  <c r="A134" i="39"/>
  <c r="A81" i="39"/>
  <c r="A150" i="39"/>
  <c r="A122" i="39"/>
  <c r="A110" i="39"/>
  <c r="A68" i="39"/>
  <c r="C12" i="41"/>
  <c r="A91" i="39"/>
  <c r="A59" i="39"/>
  <c r="A148" i="39"/>
  <c r="A45" i="39"/>
  <c r="A60" i="39"/>
  <c r="A140" i="39"/>
  <c r="A131" i="39"/>
  <c r="A76" i="39"/>
  <c r="A84" i="39"/>
  <c r="A108" i="39"/>
  <c r="A75" i="39"/>
  <c r="A152" i="39"/>
  <c r="A167" i="39"/>
  <c r="A106" i="39"/>
  <c r="A161" i="39"/>
  <c r="A71" i="39"/>
  <c r="A51" i="39"/>
  <c r="A153" i="39"/>
  <c r="A123" i="39"/>
  <c r="A129" i="39"/>
  <c r="A49" i="39"/>
  <c r="A109" i="39"/>
  <c r="A114" i="39"/>
  <c r="A164" i="39"/>
  <c r="A65" i="39"/>
  <c r="A121" i="39"/>
  <c r="A163" i="39"/>
  <c r="A41" i="39"/>
  <c r="A83" i="39"/>
  <c r="A79" i="39"/>
  <c r="A159" i="39"/>
  <c r="D12" i="41"/>
  <c r="A39" i="39"/>
  <c r="A97" i="39"/>
  <c r="A144" i="39"/>
  <c r="A72" i="39"/>
  <c r="A155" i="39"/>
  <c r="A44" i="39"/>
  <c r="A168" i="39"/>
  <c r="A113" i="39"/>
  <c r="A133" i="39"/>
  <c r="A118" i="39"/>
  <c r="A128" i="39"/>
  <c r="A69" i="39"/>
  <c r="A67" i="39"/>
  <c r="A54" i="39"/>
  <c r="D29" i="41"/>
  <c r="E29" i="41"/>
  <c r="C29" i="41"/>
  <c r="B29" i="41"/>
  <c r="C25" i="41"/>
  <c r="E25" i="41"/>
  <c r="D25" i="41"/>
  <c r="B25" i="41"/>
  <c r="C39" i="41"/>
  <c r="D39" i="41"/>
  <c r="B39" i="41"/>
  <c r="E39" i="41"/>
  <c r="D59" i="41"/>
  <c r="B59" i="41"/>
  <c r="E59" i="41"/>
  <c r="C59" i="41"/>
  <c r="E66" i="41"/>
  <c r="D66" i="41"/>
  <c r="C66" i="41"/>
  <c r="B66" i="41"/>
  <c r="E62" i="41"/>
  <c r="C62" i="41"/>
  <c r="D62" i="41"/>
  <c r="B62" i="41"/>
  <c r="B57" i="41"/>
  <c r="E57" i="41"/>
  <c r="D57" i="41"/>
  <c r="C57" i="41"/>
  <c r="D45" i="41"/>
  <c r="E45" i="41"/>
  <c r="C45" i="41"/>
  <c r="B45" i="41"/>
  <c r="E35" i="41"/>
  <c r="D35" i="41"/>
  <c r="C35" i="41"/>
  <c r="B35" i="41"/>
  <c r="C47" i="41"/>
  <c r="E47" i="41"/>
  <c r="D47" i="41"/>
  <c r="B47" i="41"/>
  <c r="B43" i="41"/>
  <c r="E43" i="41"/>
  <c r="C43" i="41"/>
  <c r="D43" i="41"/>
  <c r="C50" i="41"/>
  <c r="B50" i="41"/>
  <c r="E50" i="41"/>
  <c r="D50" i="41"/>
  <c r="B189" i="41"/>
  <c r="E189" i="41"/>
  <c r="D189" i="41"/>
  <c r="C189" i="41"/>
  <c r="B113" i="41"/>
  <c r="D113" i="41"/>
  <c r="E113" i="41"/>
  <c r="C113" i="41"/>
  <c r="B89" i="41"/>
  <c r="E89" i="41"/>
  <c r="D89" i="41"/>
  <c r="C89" i="41"/>
  <c r="B120" i="41"/>
  <c r="E120" i="41"/>
  <c r="D120" i="41"/>
  <c r="C120" i="41"/>
  <c r="B97" i="41"/>
  <c r="E97" i="41"/>
  <c r="D97" i="41"/>
  <c r="C97" i="41"/>
  <c r="B82" i="41"/>
  <c r="D82" i="41"/>
  <c r="E82" i="41"/>
  <c r="C82" i="41"/>
  <c r="B70" i="41"/>
  <c r="E70" i="41"/>
  <c r="D70" i="41"/>
  <c r="C70" i="41"/>
  <c r="B159" i="41"/>
  <c r="E159" i="41"/>
  <c r="D159" i="41"/>
  <c r="C159" i="41"/>
  <c r="B157" i="41"/>
  <c r="D157" i="41"/>
  <c r="C157" i="41"/>
  <c r="E157" i="41"/>
  <c r="B197" i="41"/>
  <c r="D197" i="41"/>
  <c r="C197" i="41"/>
  <c r="E197" i="41"/>
  <c r="B123" i="41"/>
  <c r="E123" i="41"/>
  <c r="D123" i="41"/>
  <c r="C123" i="41"/>
  <c r="B187" i="41"/>
  <c r="E187" i="41"/>
  <c r="D187" i="41"/>
  <c r="C187" i="41"/>
  <c r="B109" i="41"/>
  <c r="D109" i="41"/>
  <c r="C109" i="41"/>
  <c r="E109" i="41"/>
  <c r="B174" i="41"/>
  <c r="D174" i="41"/>
  <c r="C174" i="41"/>
  <c r="E174" i="41"/>
  <c r="B202" i="41"/>
  <c r="D202" i="41"/>
  <c r="C202" i="41"/>
  <c r="E202" i="41"/>
  <c r="B128" i="41"/>
  <c r="E128" i="41"/>
  <c r="D128" i="41"/>
  <c r="C128" i="41"/>
  <c r="B166" i="41"/>
  <c r="D166" i="41"/>
  <c r="E166" i="41"/>
  <c r="C166" i="41"/>
  <c r="B164" i="41"/>
  <c r="D164" i="41"/>
  <c r="C164" i="41"/>
  <c r="E164" i="41"/>
  <c r="B185" i="41"/>
  <c r="D185" i="41"/>
  <c r="C185" i="41"/>
  <c r="E185" i="41"/>
  <c r="B115" i="41"/>
  <c r="E115" i="41"/>
  <c r="C115" i="41"/>
  <c r="D115" i="41"/>
  <c r="B78" i="41"/>
  <c r="D78" i="41"/>
  <c r="E78" i="41"/>
  <c r="C78" i="41"/>
  <c r="B76" i="41"/>
  <c r="D76" i="41"/>
  <c r="C76" i="41"/>
  <c r="E76" i="41"/>
  <c r="B102" i="41"/>
  <c r="D102" i="41"/>
  <c r="E102" i="41"/>
  <c r="C102" i="41"/>
  <c r="B176" i="41"/>
  <c r="D176" i="41"/>
  <c r="E176" i="41"/>
  <c r="C176" i="41"/>
  <c r="B152" i="41"/>
  <c r="D152" i="41"/>
  <c r="C152" i="41"/>
  <c r="E152" i="41"/>
  <c r="B194" i="41"/>
  <c r="D194" i="41"/>
  <c r="C194" i="41"/>
  <c r="E194" i="41"/>
  <c r="B162" i="41"/>
  <c r="E162" i="41"/>
  <c r="D162" i="41"/>
  <c r="C162" i="41"/>
  <c r="B131" i="41"/>
  <c r="E131" i="41"/>
  <c r="D131" i="41"/>
  <c r="C131" i="41"/>
  <c r="B118" i="41"/>
  <c r="E118" i="41"/>
  <c r="D118" i="41"/>
  <c r="C118" i="41"/>
  <c r="B107" i="41"/>
  <c r="E107" i="41"/>
  <c r="D107" i="41"/>
  <c r="C107" i="41"/>
  <c r="B94" i="41"/>
  <c r="E94" i="41"/>
  <c r="D94" i="41"/>
  <c r="C94" i="41"/>
  <c r="B80" i="41"/>
  <c r="E80" i="41"/>
  <c r="D80" i="41"/>
  <c r="C80" i="41"/>
  <c r="B191" i="41"/>
  <c r="E191" i="41"/>
  <c r="D191" i="41"/>
  <c r="C191" i="41"/>
  <c r="B182" i="41"/>
  <c r="E182" i="41"/>
  <c r="D182" i="41"/>
  <c r="C182" i="41"/>
  <c r="B92" i="41"/>
  <c r="C92" i="41"/>
  <c r="D92" i="41"/>
  <c r="E92" i="41"/>
  <c r="B104" i="41"/>
  <c r="C104" i="41"/>
  <c r="E104" i="41"/>
  <c r="D104" i="41"/>
  <c r="B180" i="41"/>
  <c r="E180" i="41"/>
  <c r="D180" i="41"/>
  <c r="C180" i="41"/>
  <c r="L150" i="39" l="1"/>
  <c r="H150" i="39"/>
  <c r="L144" i="39"/>
  <c r="H144" i="39"/>
  <c r="L92" i="39"/>
  <c r="H92" i="39"/>
  <c r="L74" i="39"/>
  <c r="H74" i="39"/>
  <c r="L115" i="39"/>
  <c r="H115" i="39"/>
  <c r="L40" i="39"/>
  <c r="H40" i="39"/>
  <c r="L130" i="39"/>
  <c r="H130" i="39"/>
  <c r="L67" i="39"/>
  <c r="H67" i="39"/>
  <c r="L97" i="39"/>
  <c r="H97" i="39"/>
  <c r="L81" i="39"/>
  <c r="H81" i="39"/>
  <c r="L104" i="39"/>
  <c r="H104" i="39"/>
  <c r="L119" i="39"/>
  <c r="H119" i="39"/>
  <c r="L94" i="39"/>
  <c r="H94" i="39"/>
  <c r="L89" i="39"/>
  <c r="H89" i="39"/>
  <c r="L82" i="39"/>
  <c r="H82" i="39"/>
  <c r="L103" i="39"/>
  <c r="H103" i="39"/>
  <c r="L136" i="39"/>
  <c r="H136" i="39"/>
  <c r="L155" i="39"/>
  <c r="H155" i="39"/>
  <c r="L131" i="39"/>
  <c r="H131" i="39"/>
  <c r="L158" i="39"/>
  <c r="H158" i="39"/>
  <c r="L54" i="39"/>
  <c r="H54" i="39"/>
  <c r="L140" i="39"/>
  <c r="H140" i="39"/>
  <c r="L71" i="39"/>
  <c r="H71" i="39"/>
  <c r="L60" i="39"/>
  <c r="H60" i="39"/>
  <c r="L142" i="39"/>
  <c r="H142" i="39"/>
  <c r="L37" i="39"/>
  <c r="L95" i="39"/>
  <c r="H95" i="39"/>
  <c r="L146" i="39"/>
  <c r="H146" i="39"/>
  <c r="L128" i="39"/>
  <c r="H128" i="39"/>
  <c r="L39" i="39"/>
  <c r="H39" i="39"/>
  <c r="L164" i="39"/>
  <c r="H164" i="39"/>
  <c r="L161" i="39"/>
  <c r="H161" i="39"/>
  <c r="L45" i="39"/>
  <c r="H45" i="39"/>
  <c r="L162" i="39"/>
  <c r="H162" i="39"/>
  <c r="L124" i="39"/>
  <c r="H124" i="39"/>
  <c r="L147" i="39"/>
  <c r="H147" i="39"/>
  <c r="L48" i="39"/>
  <c r="H48" i="39"/>
  <c r="L143" i="39"/>
  <c r="H143" i="39"/>
  <c r="L117" i="39"/>
  <c r="H117" i="39"/>
  <c r="L64" i="39"/>
  <c r="H64" i="39"/>
  <c r="L51" i="39"/>
  <c r="H51" i="39"/>
  <c r="L65" i="39"/>
  <c r="H65" i="39"/>
  <c r="L134" i="39"/>
  <c r="H134" i="39"/>
  <c r="L35" i="39"/>
  <c r="H35" i="39"/>
  <c r="L80" i="39"/>
  <c r="H80" i="39"/>
  <c r="L118" i="39"/>
  <c r="H118" i="39"/>
  <c r="L114" i="39"/>
  <c r="H114" i="39"/>
  <c r="L106" i="39"/>
  <c r="H106" i="39"/>
  <c r="L148" i="39"/>
  <c r="H148" i="39"/>
  <c r="L50" i="39"/>
  <c r="H50" i="39"/>
  <c r="L107" i="39"/>
  <c r="H107" i="39"/>
  <c r="L157" i="39"/>
  <c r="H157" i="39"/>
  <c r="L61" i="39"/>
  <c r="H61" i="39"/>
  <c r="L98" i="39"/>
  <c r="H98" i="39"/>
  <c r="L85" i="39"/>
  <c r="H85" i="39"/>
  <c r="L101" i="39"/>
  <c r="H101" i="39"/>
  <c r="L138" i="39"/>
  <c r="H138" i="39"/>
  <c r="L78" i="39"/>
  <c r="H78" i="39"/>
  <c r="L133" i="39"/>
  <c r="H133" i="39"/>
  <c r="L167" i="39"/>
  <c r="H167" i="39"/>
  <c r="L53" i="39"/>
  <c r="H53" i="39"/>
  <c r="L46" i="39"/>
  <c r="H46" i="39"/>
  <c r="L73" i="39"/>
  <c r="H73" i="39"/>
  <c r="L154" i="39"/>
  <c r="H154" i="39"/>
  <c r="L62" i="39"/>
  <c r="H62" i="39"/>
  <c r="L57" i="39"/>
  <c r="H57" i="39"/>
  <c r="L121" i="39"/>
  <c r="H121" i="39"/>
  <c r="L69" i="39"/>
  <c r="H69" i="39"/>
  <c r="L59" i="39"/>
  <c r="H59" i="39"/>
  <c r="L113" i="39"/>
  <c r="H113" i="39"/>
  <c r="L49" i="39"/>
  <c r="H49" i="39"/>
  <c r="L152" i="39"/>
  <c r="H152" i="39"/>
  <c r="L91" i="39"/>
  <c r="H91" i="39"/>
  <c r="L55" i="39"/>
  <c r="H55" i="39"/>
  <c r="L56" i="39"/>
  <c r="H56" i="39"/>
  <c r="L145" i="39"/>
  <c r="H145" i="39"/>
  <c r="L88" i="39"/>
  <c r="H88" i="39"/>
  <c r="L135" i="39"/>
  <c r="H135" i="39"/>
  <c r="L58" i="39"/>
  <c r="H58" i="39"/>
  <c r="L105" i="39"/>
  <c r="H105" i="39"/>
  <c r="L43" i="39"/>
  <c r="H43" i="39"/>
  <c r="L153" i="39"/>
  <c r="H153" i="39"/>
  <c r="L151" i="39"/>
  <c r="H151" i="39"/>
  <c r="L90" i="39"/>
  <c r="H90" i="39"/>
  <c r="L109" i="39"/>
  <c r="H109" i="39"/>
  <c r="L42" i="39"/>
  <c r="H42" i="39"/>
  <c r="L100" i="39"/>
  <c r="H100" i="39"/>
  <c r="L168" i="39"/>
  <c r="H168" i="39"/>
  <c r="L159" i="39"/>
  <c r="H159" i="39"/>
  <c r="L75" i="39"/>
  <c r="H75" i="39"/>
  <c r="L139" i="39"/>
  <c r="H139" i="39"/>
  <c r="L156" i="39"/>
  <c r="H156" i="39"/>
  <c r="L126" i="39"/>
  <c r="H126" i="39"/>
  <c r="L149" i="39"/>
  <c r="H149" i="39"/>
  <c r="L160" i="39"/>
  <c r="H160" i="39"/>
  <c r="L141" i="39"/>
  <c r="H141" i="39"/>
  <c r="L112" i="39"/>
  <c r="H112" i="39"/>
  <c r="L93" i="39"/>
  <c r="H93" i="39"/>
  <c r="L163" i="39"/>
  <c r="H163" i="39"/>
  <c r="L127" i="39"/>
  <c r="H127" i="39"/>
  <c r="L129" i="39"/>
  <c r="H129" i="39"/>
  <c r="L68" i="39"/>
  <c r="H68" i="39"/>
  <c r="L116" i="39"/>
  <c r="H116" i="39"/>
  <c r="L102" i="39"/>
  <c r="H102" i="39"/>
  <c r="L132" i="39"/>
  <c r="H132" i="39"/>
  <c r="L47" i="39"/>
  <c r="H47" i="39"/>
  <c r="L72" i="39"/>
  <c r="H72" i="39"/>
  <c r="L66" i="39"/>
  <c r="H66" i="39"/>
  <c r="L79" i="39"/>
  <c r="H79" i="39"/>
  <c r="L108" i="39"/>
  <c r="H108" i="39"/>
  <c r="L111" i="39"/>
  <c r="H111" i="39"/>
  <c r="L36" i="39"/>
  <c r="H36" i="39"/>
  <c r="L86" i="39"/>
  <c r="H86" i="39"/>
  <c r="L44" i="39"/>
  <c r="H44" i="39"/>
  <c r="L83" i="39"/>
  <c r="H83" i="39"/>
  <c r="L84" i="39"/>
  <c r="H84" i="39"/>
  <c r="L110" i="39"/>
  <c r="H110" i="39"/>
  <c r="L166" i="39"/>
  <c r="H166" i="39"/>
  <c r="L137" i="39"/>
  <c r="H137" i="39"/>
  <c r="L96" i="39"/>
  <c r="H96" i="39"/>
  <c r="L165" i="39"/>
  <c r="H165" i="39"/>
  <c r="L120" i="39"/>
  <c r="H120" i="39"/>
  <c r="L38" i="39"/>
  <c r="H38" i="39"/>
  <c r="L41" i="39"/>
  <c r="H41" i="39"/>
  <c r="L123" i="39"/>
  <c r="H123" i="39"/>
  <c r="L76" i="39"/>
  <c r="H76" i="39"/>
  <c r="L122" i="39"/>
  <c r="H122" i="39"/>
  <c r="L63" i="39"/>
  <c r="H63" i="39"/>
  <c r="L52" i="39"/>
  <c r="H52" i="39"/>
  <c r="L77" i="39"/>
  <c r="H77" i="39"/>
  <c r="L87" i="39"/>
  <c r="H87" i="39"/>
  <c r="L99" i="39"/>
  <c r="H99" i="39"/>
  <c r="L125" i="39"/>
  <c r="H125" i="39"/>
  <c r="L70" i="39"/>
  <c r="H70" i="39"/>
  <c r="L34" i="39"/>
  <c r="H34" i="39"/>
  <c r="J24" i="39" l="1"/>
  <c r="F25" i="39" s="1"/>
  <c r="H25" i="39"/>
  <c r="J205" i="41" l="1"/>
  <c r="O205" i="41"/>
  <c r="G205" i="41"/>
  <c r="K205" i="41"/>
  <c r="J25" i="39"/>
  <c r="J26" i="39" s="1"/>
  <c r="M7" i="2"/>
  <c r="H4" i="41"/>
  <c r="E5" i="42" s="1"/>
  <c r="K36" i="41"/>
  <c r="K78" i="41"/>
  <c r="K12" i="41"/>
  <c r="K58" i="41"/>
  <c r="J12" i="41"/>
  <c r="J26" i="41"/>
  <c r="J58" i="41"/>
  <c r="O12" i="41"/>
  <c r="O189" i="41"/>
  <c r="J48" i="41"/>
  <c r="O76" i="41"/>
  <c r="O63" i="41"/>
  <c r="O36" i="41"/>
  <c r="O30" i="41"/>
  <c r="O186" i="41"/>
  <c r="K179" i="41"/>
  <c r="O202" i="41"/>
  <c r="K97" i="41"/>
  <c r="K92" i="41"/>
  <c r="K159" i="41"/>
  <c r="K114" i="41"/>
  <c r="O94" i="41"/>
  <c r="O162" i="41"/>
  <c r="K162" i="41"/>
  <c r="J106" i="41"/>
  <c r="J175" i="41"/>
  <c r="J179" i="41"/>
  <c r="J162" i="41"/>
  <c r="G26" i="41"/>
  <c r="G175" i="41"/>
  <c r="G76" i="41"/>
  <c r="G46" i="41"/>
  <c r="G184" i="41"/>
  <c r="G103" i="41"/>
  <c r="G122" i="41"/>
  <c r="G181" i="41"/>
  <c r="G101" i="41"/>
  <c r="G114" i="41"/>
  <c r="G12" i="41"/>
  <c r="G152" i="41"/>
  <c r="G162" i="41"/>
  <c r="G94" i="41"/>
  <c r="G191" i="41"/>
  <c r="G106" i="41"/>
  <c r="B194" i="30"/>
  <c r="D194" i="30"/>
  <c r="C194" i="30"/>
  <c r="E194" i="30"/>
  <c r="B182" i="30"/>
  <c r="E182" i="30"/>
  <c r="D182" i="30"/>
  <c r="C182" i="30"/>
  <c r="B158" i="30"/>
  <c r="C158" i="30"/>
  <c r="D158" i="30"/>
  <c r="E158" i="30"/>
  <c r="E122" i="30"/>
  <c r="B122" i="30"/>
  <c r="C122" i="30"/>
  <c r="D122" i="30"/>
  <c r="B92" i="30"/>
  <c r="D92" i="30"/>
  <c r="C92" i="30"/>
  <c r="E92" i="30"/>
  <c r="B151" i="30"/>
  <c r="E151" i="30"/>
  <c r="C151" i="30"/>
  <c r="D151" i="30"/>
  <c r="B127" i="30"/>
  <c r="D127" i="30"/>
  <c r="C127" i="30"/>
  <c r="E127" i="30"/>
  <c r="B97" i="30"/>
  <c r="E97" i="30"/>
  <c r="D97" i="30"/>
  <c r="C97" i="30"/>
  <c r="D156" i="30"/>
  <c r="E156" i="30"/>
  <c r="C156" i="30"/>
  <c r="B156" i="30"/>
  <c r="C66" i="30"/>
  <c r="B66" i="30"/>
  <c r="D66" i="30"/>
  <c r="E66" i="30"/>
  <c r="C163" i="30"/>
  <c r="D163" i="30"/>
  <c r="B163" i="30"/>
  <c r="E163" i="30"/>
  <c r="C179" i="30"/>
  <c r="E179" i="30"/>
  <c r="B179" i="30"/>
  <c r="D179" i="30"/>
  <c r="E173" i="30"/>
  <c r="B173" i="30"/>
  <c r="C173" i="30"/>
  <c r="D173" i="30"/>
  <c r="D101" i="30"/>
  <c r="B101" i="30"/>
  <c r="C101" i="30"/>
  <c r="E101" i="30"/>
  <c r="B89" i="30"/>
  <c r="D89" i="30"/>
  <c r="C89" i="30"/>
  <c r="E89" i="30"/>
  <c r="C184" i="30"/>
  <c r="D184" i="30"/>
  <c r="E184" i="30"/>
  <c r="B184" i="30"/>
  <c r="E112" i="30"/>
  <c r="C112" i="30"/>
  <c r="D112" i="30"/>
  <c r="B112" i="30"/>
  <c r="B106" i="30"/>
  <c r="C106" i="30"/>
  <c r="D106" i="30"/>
  <c r="E106" i="30"/>
  <c r="B76" i="30"/>
  <c r="E76" i="30"/>
  <c r="D76" i="30"/>
  <c r="C76" i="30"/>
  <c r="B70" i="30"/>
  <c r="E70" i="30"/>
  <c r="D70" i="30"/>
  <c r="C70" i="30"/>
  <c r="B171" i="30"/>
  <c r="C171" i="30"/>
  <c r="D171" i="30"/>
  <c r="E171" i="30"/>
  <c r="E165" i="30"/>
  <c r="B165" i="30"/>
  <c r="D165" i="30"/>
  <c r="C165" i="30"/>
  <c r="D117" i="30"/>
  <c r="C117" i="30"/>
  <c r="E117" i="30"/>
  <c r="B117" i="30"/>
  <c r="E16" i="30"/>
  <c r="D16" i="30"/>
  <c r="B16" i="30"/>
  <c r="C16" i="30"/>
  <c r="D29" i="30"/>
  <c r="C29" i="30"/>
  <c r="B29" i="30"/>
  <c r="E29" i="30"/>
  <c r="C25" i="30"/>
  <c r="D25" i="30"/>
  <c r="E25" i="30"/>
  <c r="B25" i="30"/>
  <c r="D59" i="30"/>
  <c r="B59" i="30"/>
  <c r="C59" i="30"/>
  <c r="E59" i="30"/>
  <c r="D35" i="30"/>
  <c r="E35" i="30"/>
  <c r="C35" i="30"/>
  <c r="B35" i="30"/>
  <c r="E21" i="30"/>
  <c r="D21" i="30"/>
  <c r="B21" i="30"/>
  <c r="C21" i="30"/>
  <c r="B57" i="30"/>
  <c r="C57" i="30"/>
  <c r="D57" i="30"/>
  <c r="E57" i="30"/>
  <c r="B43" i="30"/>
  <c r="C43" i="30"/>
  <c r="D43" i="30"/>
  <c r="E43" i="30"/>
  <c r="E50" i="30"/>
  <c r="C50" i="30"/>
  <c r="D50" i="30"/>
  <c r="B50" i="30"/>
  <c r="D39" i="30"/>
  <c r="C39" i="30"/>
  <c r="B39" i="30"/>
  <c r="E39" i="30"/>
  <c r="D18" i="30"/>
  <c r="B18" i="30"/>
  <c r="C18" i="30"/>
  <c r="E18" i="30"/>
  <c r="B187" i="30"/>
  <c r="E187" i="30"/>
  <c r="C187" i="30"/>
  <c r="D187" i="30"/>
  <c r="C172" i="30"/>
  <c r="D172" i="30"/>
  <c r="E172" i="30"/>
  <c r="B172" i="30"/>
  <c r="B111" i="30"/>
  <c r="E111" i="30"/>
  <c r="D111" i="30"/>
  <c r="C111" i="30"/>
  <c r="D75" i="30"/>
  <c r="E75" i="30"/>
  <c r="B75" i="30"/>
  <c r="C75" i="30"/>
  <c r="B157" i="30"/>
  <c r="D157" i="30"/>
  <c r="C157" i="30"/>
  <c r="E157" i="30"/>
  <c r="B150" i="30"/>
  <c r="E150" i="30"/>
  <c r="D150" i="30"/>
  <c r="C150" i="30"/>
  <c r="B118" i="30"/>
  <c r="D118" i="30"/>
  <c r="C118" i="30"/>
  <c r="E118" i="30"/>
  <c r="B178" i="30"/>
  <c r="C178" i="30"/>
  <c r="D178" i="30"/>
  <c r="E178" i="30"/>
  <c r="B88" i="30"/>
  <c r="E88" i="30"/>
  <c r="D88" i="30"/>
  <c r="C88" i="30"/>
  <c r="C126" i="30"/>
  <c r="B126" i="30"/>
  <c r="D126" i="30"/>
  <c r="E126" i="30"/>
  <c r="B185" i="30"/>
  <c r="E185" i="30"/>
  <c r="D185" i="30"/>
  <c r="C185" i="30"/>
  <c r="B102" i="30"/>
  <c r="E102" i="30"/>
  <c r="D102" i="30"/>
  <c r="C102" i="30"/>
  <c r="C81" i="30"/>
  <c r="B81" i="30"/>
  <c r="D81" i="30"/>
  <c r="E81" i="30"/>
  <c r="D69" i="30"/>
  <c r="C69" i="30"/>
  <c r="B69" i="30"/>
  <c r="E69" i="30"/>
  <c r="C170" i="30"/>
  <c r="D170" i="30"/>
  <c r="E170" i="30"/>
  <c r="B170" i="30"/>
  <c r="B155" i="30"/>
  <c r="E155" i="30"/>
  <c r="C155" i="30"/>
  <c r="D155" i="30"/>
  <c r="B198" i="30"/>
  <c r="D198" i="30"/>
  <c r="C198" i="30"/>
  <c r="E198" i="30"/>
  <c r="B176" i="30"/>
  <c r="E176" i="30"/>
  <c r="D176" i="30"/>
  <c r="C176" i="30"/>
  <c r="B162" i="30"/>
  <c r="E162" i="30"/>
  <c r="C162" i="30"/>
  <c r="D162" i="30"/>
  <c r="E129" i="30"/>
  <c r="B129" i="30"/>
  <c r="C129" i="30"/>
  <c r="D129" i="30"/>
  <c r="C100" i="30"/>
  <c r="E100" i="30"/>
  <c r="B100" i="30"/>
  <c r="D100" i="30"/>
  <c r="D93" i="30"/>
  <c r="B93" i="30"/>
  <c r="C93" i="30"/>
  <c r="E93" i="30"/>
  <c r="D79" i="30"/>
  <c r="E79" i="30"/>
  <c r="B79" i="30"/>
  <c r="C79" i="30"/>
  <c r="B190" i="30"/>
  <c r="C190" i="30"/>
  <c r="D190" i="30"/>
  <c r="E190" i="30"/>
  <c r="B107" i="30"/>
  <c r="C107" i="30"/>
  <c r="D107" i="30"/>
  <c r="E107" i="30"/>
  <c r="B160" i="30"/>
  <c r="C160" i="30"/>
  <c r="E160" i="30"/>
  <c r="D160" i="30"/>
  <c r="B113" i="30"/>
  <c r="E113" i="30"/>
  <c r="D113" i="30"/>
  <c r="C113" i="30"/>
  <c r="C77" i="30"/>
  <c r="B77" i="30"/>
  <c r="E77" i="30"/>
  <c r="D77" i="30"/>
  <c r="K40" i="41" l="1"/>
  <c r="G179" i="41"/>
  <c r="G186" i="41"/>
  <c r="J191" i="41"/>
  <c r="J173" i="41"/>
  <c r="O117" i="41"/>
  <c r="K197" i="41"/>
  <c r="K184" i="41"/>
  <c r="O159" i="41"/>
  <c r="K131" i="41"/>
  <c r="O51" i="41"/>
  <c r="O78" i="41"/>
  <c r="O60" i="41"/>
  <c r="K51" i="41"/>
  <c r="K76" i="41"/>
  <c r="G78" i="41"/>
  <c r="G112" i="41"/>
  <c r="G16" i="41"/>
  <c r="G128" i="41"/>
  <c r="G21" i="41"/>
  <c r="J159" i="41"/>
  <c r="J101" i="41"/>
  <c r="K157" i="41"/>
  <c r="O157" i="41"/>
  <c r="O184" i="41"/>
  <c r="K106" i="41"/>
  <c r="O175" i="41"/>
  <c r="K128" i="41"/>
  <c r="O40" i="41"/>
  <c r="J189" i="41"/>
  <c r="J46" i="41"/>
  <c r="J21" i="41"/>
  <c r="K48" i="41"/>
  <c r="K30" i="41"/>
  <c r="G164" i="41"/>
  <c r="G36" i="41"/>
  <c r="G63" i="41"/>
  <c r="G197" i="41"/>
  <c r="G173" i="41"/>
  <c r="J164" i="41"/>
  <c r="J94" i="41"/>
  <c r="K194" i="41"/>
  <c r="O179" i="41"/>
  <c r="O106" i="41"/>
  <c r="O191" i="41"/>
  <c r="O131" i="41"/>
  <c r="O66" i="41"/>
  <c r="J30" i="41"/>
  <c r="J44" i="41"/>
  <c r="K89" i="41"/>
  <c r="K70" i="41"/>
  <c r="G166" i="41"/>
  <c r="G40" i="41"/>
  <c r="G48" i="41"/>
  <c r="G159" i="41"/>
  <c r="J166" i="41"/>
  <c r="J184" i="41"/>
  <c r="J186" i="41"/>
  <c r="O194" i="41"/>
  <c r="O108" i="41"/>
  <c r="K112" i="41"/>
  <c r="K152" i="41"/>
  <c r="O82" i="41"/>
  <c r="J82" i="41"/>
  <c r="J76" i="41"/>
  <c r="O26" i="41"/>
  <c r="O58" i="41"/>
  <c r="K46" i="41"/>
  <c r="K26" i="41"/>
  <c r="G202" i="41"/>
  <c r="G108" i="41"/>
  <c r="G51" i="41"/>
  <c r="G70" i="41"/>
  <c r="J157" i="41"/>
  <c r="J97" i="41"/>
  <c r="J92" i="41"/>
  <c r="K202" i="41"/>
  <c r="O112" i="41"/>
  <c r="O92" i="41"/>
  <c r="K191" i="41"/>
  <c r="K101" i="41"/>
  <c r="O18" i="41"/>
  <c r="J36" i="41"/>
  <c r="J78" i="41"/>
  <c r="K66" i="41"/>
  <c r="G157" i="41"/>
  <c r="G58" i="41"/>
  <c r="G117" i="41"/>
  <c r="G97" i="41"/>
  <c r="J131" i="41"/>
  <c r="J152" i="41"/>
  <c r="K119" i="41"/>
  <c r="O197" i="41"/>
  <c r="K103" i="41"/>
  <c r="K122" i="41"/>
  <c r="O152" i="41"/>
  <c r="O80" i="41"/>
  <c r="J51" i="41"/>
  <c r="J63" i="41"/>
  <c r="O21" i="41"/>
  <c r="K63" i="41"/>
  <c r="K82" i="41"/>
  <c r="K21" i="41"/>
  <c r="G18" i="41"/>
  <c r="G44" i="41"/>
  <c r="G89" i="41"/>
  <c r="J114" i="41"/>
  <c r="J117" i="41"/>
  <c r="J112" i="41"/>
  <c r="O128" i="41"/>
  <c r="O114" i="41"/>
  <c r="O181" i="41"/>
  <c r="O103" i="41"/>
  <c r="O101" i="41"/>
  <c r="O70" i="41"/>
  <c r="J40" i="41"/>
  <c r="J60" i="41"/>
  <c r="O44" i="41"/>
  <c r="K18" i="41"/>
  <c r="K44" i="41"/>
  <c r="G82" i="41"/>
  <c r="G30" i="41"/>
  <c r="G80" i="41"/>
  <c r="G189" i="41"/>
  <c r="J108" i="41"/>
  <c r="J194" i="41"/>
  <c r="J103" i="41"/>
  <c r="K117" i="41"/>
  <c r="K181" i="41"/>
  <c r="O164" i="41"/>
  <c r="K166" i="41"/>
  <c r="K175" i="41"/>
  <c r="J18" i="41"/>
  <c r="J66" i="41"/>
  <c r="O46" i="41"/>
  <c r="K189" i="41"/>
  <c r="G92" i="41"/>
  <c r="G60" i="41"/>
  <c r="G131" i="41"/>
  <c r="G66" i="41"/>
  <c r="J128" i="41"/>
  <c r="J202" i="41"/>
  <c r="J119" i="41"/>
  <c r="O173" i="41"/>
  <c r="K164" i="41"/>
  <c r="K173" i="41"/>
  <c r="O166" i="41"/>
  <c r="O97" i="41"/>
  <c r="J80" i="41"/>
  <c r="O48" i="41"/>
  <c r="O89" i="41"/>
  <c r="J16" i="41"/>
  <c r="K60" i="41"/>
  <c r="K80" i="41"/>
  <c r="G194" i="41"/>
  <c r="G119" i="41"/>
  <c r="J181" i="41"/>
  <c r="J122" i="41"/>
  <c r="J197" i="41"/>
  <c r="O119" i="41"/>
  <c r="K186" i="41"/>
  <c r="K94" i="41"/>
  <c r="K108" i="41"/>
  <c r="O122" i="41"/>
  <c r="J70" i="41"/>
  <c r="J89" i="41"/>
  <c r="O16" i="41"/>
  <c r="K16" i="41"/>
  <c r="M8" i="2"/>
  <c r="M9" i="2" s="1"/>
  <c r="E4" i="41" l="1"/>
  <c r="G13" i="41"/>
  <c r="J13" i="41"/>
  <c r="K13" i="41"/>
  <c r="O13" i="41"/>
  <c r="G14" i="41"/>
  <c r="J14" i="41"/>
  <c r="K14" i="41"/>
  <c r="O14" i="41"/>
  <c r="G15" i="41"/>
  <c r="J15" i="41"/>
  <c r="K15" i="41"/>
  <c r="O15" i="41"/>
  <c r="G17" i="41"/>
  <c r="J17" i="41"/>
  <c r="K17" i="41"/>
  <c r="O17" i="41"/>
  <c r="G19" i="41"/>
  <c r="J19" i="41"/>
  <c r="K19" i="41"/>
  <c r="O19" i="41"/>
  <c r="G20" i="41"/>
  <c r="J20" i="41"/>
  <c r="K20" i="41"/>
  <c r="O20" i="41"/>
  <c r="G22" i="41"/>
  <c r="J22" i="41"/>
  <c r="K22" i="41"/>
  <c r="O22" i="41"/>
  <c r="G23" i="41"/>
  <c r="J23" i="41"/>
  <c r="K23" i="41"/>
  <c r="O23" i="41"/>
  <c r="G24" i="41"/>
  <c r="J24" i="41"/>
  <c r="K24" i="41"/>
  <c r="O24" i="41"/>
  <c r="G25" i="41"/>
  <c r="J25" i="41"/>
  <c r="K25" i="41"/>
  <c r="O25" i="41"/>
  <c r="G27" i="41"/>
  <c r="J27" i="41"/>
  <c r="K27" i="41"/>
  <c r="O27" i="41"/>
  <c r="G28" i="41"/>
  <c r="J28" i="41"/>
  <c r="K28" i="41"/>
  <c r="O28" i="41"/>
  <c r="G29" i="41"/>
  <c r="J29" i="41"/>
  <c r="K29" i="41"/>
  <c r="O29" i="41"/>
  <c r="G31" i="41"/>
  <c r="J31" i="41"/>
  <c r="K31" i="41"/>
  <c r="O31" i="41"/>
  <c r="G32" i="41"/>
  <c r="J32" i="41"/>
  <c r="K32" i="41"/>
  <c r="O32" i="41"/>
  <c r="G33" i="41"/>
  <c r="J33" i="41"/>
  <c r="K33" i="41"/>
  <c r="O33" i="41"/>
  <c r="G34" i="41"/>
  <c r="J34" i="41"/>
  <c r="K34" i="41"/>
  <c r="O34" i="41"/>
  <c r="G35" i="41"/>
  <c r="J35" i="41"/>
  <c r="K35" i="41"/>
  <c r="O35" i="41"/>
  <c r="G37" i="41"/>
  <c r="J37" i="41"/>
  <c r="K37" i="41"/>
  <c r="O37" i="41"/>
  <c r="G38" i="41"/>
  <c r="J38" i="41"/>
  <c r="K38" i="41"/>
  <c r="O38" i="41"/>
  <c r="G39" i="41"/>
  <c r="J39" i="41"/>
  <c r="K39" i="41"/>
  <c r="O39" i="41"/>
  <c r="G41" i="41"/>
  <c r="J41" i="41"/>
  <c r="K41" i="41"/>
  <c r="O41" i="41"/>
  <c r="G42" i="41"/>
  <c r="J42" i="41"/>
  <c r="K42" i="41"/>
  <c r="O42" i="41"/>
  <c r="G43" i="41"/>
  <c r="J43" i="41"/>
  <c r="K43" i="41"/>
  <c r="O43" i="41"/>
  <c r="G45" i="41"/>
  <c r="J45" i="41"/>
  <c r="K45" i="41"/>
  <c r="O45" i="41"/>
  <c r="G47" i="41"/>
  <c r="J47" i="41"/>
  <c r="K47" i="41"/>
  <c r="O47" i="41"/>
  <c r="G49" i="41"/>
  <c r="J49" i="41"/>
  <c r="K49" i="41"/>
  <c r="O49" i="41"/>
  <c r="G50" i="41"/>
  <c r="J50" i="41"/>
  <c r="K50" i="41"/>
  <c r="O50" i="41"/>
  <c r="G52" i="41"/>
  <c r="J52" i="41"/>
  <c r="K52" i="41"/>
  <c r="O52" i="41"/>
  <c r="G53" i="41"/>
  <c r="J53" i="41"/>
  <c r="K53" i="41"/>
  <c r="O53" i="41"/>
  <c r="G54" i="41"/>
  <c r="J54" i="41"/>
  <c r="K54" i="41"/>
  <c r="O54" i="41"/>
  <c r="G55" i="41"/>
  <c r="J55" i="41"/>
  <c r="K55" i="41"/>
  <c r="O55" i="41"/>
  <c r="G56" i="41"/>
  <c r="J56" i="41"/>
  <c r="K56" i="41"/>
  <c r="O56" i="41"/>
  <c r="G57" i="41"/>
  <c r="J57" i="41"/>
  <c r="K57" i="41"/>
  <c r="O57" i="41"/>
  <c r="G59" i="41"/>
  <c r="J59" i="41"/>
  <c r="K59" i="41"/>
  <c r="O59" i="41"/>
  <c r="G61" i="41"/>
  <c r="J61" i="41"/>
  <c r="K61" i="41"/>
  <c r="O61" i="41"/>
  <c r="G62" i="41"/>
  <c r="J62" i="41"/>
  <c r="K62" i="41"/>
  <c r="O62" i="41"/>
  <c r="G64" i="41"/>
  <c r="J64" i="41"/>
  <c r="K64" i="41"/>
  <c r="O64" i="41"/>
  <c r="G65" i="41"/>
  <c r="J65" i="41"/>
  <c r="K65" i="41"/>
  <c r="O65" i="41"/>
  <c r="G67" i="41"/>
  <c r="J67" i="41"/>
  <c r="K67" i="41"/>
  <c r="O67" i="41"/>
  <c r="G68" i="41"/>
  <c r="J68" i="41"/>
  <c r="K68" i="41"/>
  <c r="O68" i="41"/>
  <c r="G69" i="41"/>
  <c r="J69" i="41"/>
  <c r="K69" i="41"/>
  <c r="O69" i="41"/>
  <c r="G71" i="41"/>
  <c r="J71" i="41"/>
  <c r="K71" i="41"/>
  <c r="O71" i="41"/>
  <c r="G72" i="41"/>
  <c r="J72" i="41"/>
  <c r="K72" i="41"/>
  <c r="O72" i="41"/>
  <c r="G73" i="41"/>
  <c r="J73" i="41"/>
  <c r="K73" i="41"/>
  <c r="O73" i="41"/>
  <c r="G74" i="41"/>
  <c r="J74" i="41"/>
  <c r="K74" i="41"/>
  <c r="O74" i="41"/>
  <c r="G75" i="41"/>
  <c r="J75" i="41"/>
  <c r="K75" i="41"/>
  <c r="O75" i="41"/>
  <c r="G77" i="41"/>
  <c r="J77" i="41"/>
  <c r="K77" i="41"/>
  <c r="O77" i="41"/>
  <c r="G79" i="41"/>
  <c r="J79" i="41"/>
  <c r="K79" i="41"/>
  <c r="O79" i="41"/>
  <c r="G81" i="41"/>
  <c r="J81" i="41"/>
  <c r="K81" i="41"/>
  <c r="O81" i="41"/>
  <c r="G83" i="41"/>
  <c r="J83" i="41"/>
  <c r="K83" i="41"/>
  <c r="O83" i="41"/>
  <c r="G84" i="41"/>
  <c r="J84" i="41"/>
  <c r="K84" i="41"/>
  <c r="O84" i="41"/>
  <c r="G85" i="41"/>
  <c r="J85" i="41"/>
  <c r="K85" i="41"/>
  <c r="O85" i="41"/>
  <c r="G86" i="41"/>
  <c r="J86" i="41"/>
  <c r="K86" i="41"/>
  <c r="O86" i="41"/>
  <c r="G87" i="41"/>
  <c r="J87" i="41"/>
  <c r="K87" i="41"/>
  <c r="O87" i="41"/>
  <c r="G88" i="41"/>
  <c r="J88" i="41"/>
  <c r="K88" i="41"/>
  <c r="O88" i="41"/>
  <c r="G90" i="41"/>
  <c r="J90" i="41"/>
  <c r="K90" i="41"/>
  <c r="O90" i="41"/>
  <c r="G91" i="41"/>
  <c r="J91" i="41"/>
  <c r="K91" i="41"/>
  <c r="O91" i="41"/>
  <c r="G93" i="41"/>
  <c r="J93" i="41"/>
  <c r="K93" i="41"/>
  <c r="O93" i="41"/>
  <c r="G95" i="41"/>
  <c r="J95" i="41"/>
  <c r="K95" i="41"/>
  <c r="O95" i="41"/>
  <c r="G96" i="41"/>
  <c r="J96" i="41"/>
  <c r="K96" i="41"/>
  <c r="O96" i="41"/>
  <c r="G98" i="41"/>
  <c r="J98" i="41"/>
  <c r="K98" i="41"/>
  <c r="O98" i="41"/>
  <c r="G99" i="41"/>
  <c r="J99" i="41"/>
  <c r="K99" i="41"/>
  <c r="O99" i="41"/>
  <c r="G100" i="41"/>
  <c r="J100" i="41"/>
  <c r="K100" i="41"/>
  <c r="O100" i="41"/>
  <c r="G102" i="41"/>
  <c r="J102" i="41"/>
  <c r="K102" i="41"/>
  <c r="O102" i="41"/>
  <c r="G104" i="41"/>
  <c r="J104" i="41"/>
  <c r="K104" i="41"/>
  <c r="O104" i="41"/>
  <c r="G105" i="41"/>
  <c r="J105" i="41"/>
  <c r="K105" i="41"/>
  <c r="O105" i="41"/>
  <c r="G107" i="41"/>
  <c r="J107" i="41"/>
  <c r="K107" i="41"/>
  <c r="O107" i="41"/>
  <c r="G109" i="41"/>
  <c r="J109" i="41"/>
  <c r="K109" i="41"/>
  <c r="O109" i="41"/>
  <c r="G110" i="41"/>
  <c r="J110" i="41"/>
  <c r="K110" i="41"/>
  <c r="O110" i="41"/>
  <c r="G111" i="41"/>
  <c r="J111" i="41"/>
  <c r="K111" i="41"/>
  <c r="O111" i="41"/>
  <c r="G113" i="41"/>
  <c r="J113" i="41"/>
  <c r="K113" i="41"/>
  <c r="O113" i="41"/>
  <c r="G115" i="41"/>
  <c r="J115" i="41"/>
  <c r="K115" i="41"/>
  <c r="O115" i="41"/>
  <c r="G116" i="41"/>
  <c r="J116" i="41"/>
  <c r="K116" i="41"/>
  <c r="O116" i="41"/>
  <c r="G118" i="41"/>
  <c r="J118" i="41"/>
  <c r="K118" i="41"/>
  <c r="O118" i="41"/>
  <c r="G120" i="41"/>
  <c r="J120" i="41"/>
  <c r="K120" i="41"/>
  <c r="O120" i="41"/>
  <c r="G121" i="41"/>
  <c r="J121" i="41"/>
  <c r="K121" i="41"/>
  <c r="O121" i="41"/>
  <c r="G123" i="41"/>
  <c r="J123" i="41"/>
  <c r="K123" i="41"/>
  <c r="O123" i="41"/>
  <c r="G124" i="41"/>
  <c r="J124" i="41"/>
  <c r="K124" i="41"/>
  <c r="O124" i="41"/>
  <c r="G125" i="41"/>
  <c r="J125" i="41"/>
  <c r="K125" i="41"/>
  <c r="O125" i="41"/>
  <c r="G126" i="41"/>
  <c r="J126" i="41"/>
  <c r="K126" i="41"/>
  <c r="O126" i="41"/>
  <c r="G127" i="41"/>
  <c r="J127" i="41"/>
  <c r="K127" i="41"/>
  <c r="O127" i="41"/>
  <c r="G129" i="41"/>
  <c r="J129" i="41"/>
  <c r="K129" i="41"/>
  <c r="O129" i="41"/>
  <c r="G130" i="41"/>
  <c r="J130" i="41"/>
  <c r="K130" i="41"/>
  <c r="O130" i="41"/>
  <c r="G132" i="41"/>
  <c r="J132" i="41"/>
  <c r="K132" i="41"/>
  <c r="O132" i="41"/>
  <c r="G133" i="41"/>
  <c r="J133" i="41"/>
  <c r="K133" i="41"/>
  <c r="O133" i="41"/>
  <c r="G134" i="41"/>
  <c r="J134" i="41"/>
  <c r="K134" i="41"/>
  <c r="O134" i="41"/>
  <c r="G135" i="41"/>
  <c r="J135" i="41"/>
  <c r="K135" i="41"/>
  <c r="O135" i="41"/>
  <c r="G136" i="41"/>
  <c r="J136" i="41"/>
  <c r="K136" i="41"/>
  <c r="O136" i="41"/>
  <c r="G137" i="41"/>
  <c r="J137" i="41"/>
  <c r="K137" i="41"/>
  <c r="O137" i="41"/>
  <c r="G138" i="41"/>
  <c r="J138" i="41"/>
  <c r="K138" i="41"/>
  <c r="O138" i="41"/>
  <c r="G139" i="41"/>
  <c r="J139" i="41"/>
  <c r="K139" i="41"/>
  <c r="O139" i="41"/>
  <c r="G140" i="41"/>
  <c r="J140" i="41"/>
  <c r="K140" i="41"/>
  <c r="O140" i="41"/>
  <c r="G141" i="41"/>
  <c r="J141" i="41"/>
  <c r="K141" i="41"/>
  <c r="O141" i="41"/>
  <c r="G142" i="41"/>
  <c r="J142" i="41"/>
  <c r="K142" i="41"/>
  <c r="O142" i="41"/>
  <c r="G143" i="41"/>
  <c r="J143" i="41"/>
  <c r="K143" i="41"/>
  <c r="O143" i="41"/>
  <c r="G144" i="41"/>
  <c r="J144" i="41"/>
  <c r="K144" i="41"/>
  <c r="O144" i="41"/>
  <c r="G145" i="41"/>
  <c r="J145" i="41"/>
  <c r="K145" i="41"/>
  <c r="O145" i="41"/>
  <c r="G146" i="41"/>
  <c r="J146" i="41"/>
  <c r="K146" i="41"/>
  <c r="O146" i="41"/>
  <c r="G147" i="41"/>
  <c r="J147" i="41"/>
  <c r="K147" i="41"/>
  <c r="O147" i="41"/>
  <c r="G148" i="41"/>
  <c r="J148" i="41"/>
  <c r="K148" i="41"/>
  <c r="O148" i="41"/>
  <c r="G149" i="41"/>
  <c r="J149" i="41"/>
  <c r="K149" i="41"/>
  <c r="O149" i="41"/>
  <c r="G150" i="41"/>
  <c r="J150" i="41"/>
  <c r="K150" i="41"/>
  <c r="O150" i="41"/>
  <c r="G151" i="41"/>
  <c r="J151" i="41"/>
  <c r="K151" i="41"/>
  <c r="O151" i="41"/>
  <c r="G153" i="41"/>
  <c r="J153" i="41"/>
  <c r="K153" i="41"/>
  <c r="O153" i="41"/>
  <c r="G154" i="41"/>
  <c r="J154" i="41"/>
  <c r="K154" i="41"/>
  <c r="O154" i="41"/>
  <c r="G155" i="41"/>
  <c r="J155" i="41"/>
  <c r="K155" i="41"/>
  <c r="O155" i="41"/>
  <c r="G156" i="41"/>
  <c r="J156" i="41"/>
  <c r="K156" i="41"/>
  <c r="O156" i="41"/>
  <c r="G158" i="41"/>
  <c r="J158" i="41"/>
  <c r="K158" i="41"/>
  <c r="O158" i="41"/>
  <c r="G160" i="41"/>
  <c r="J160" i="41"/>
  <c r="K160" i="41"/>
  <c r="O160" i="41"/>
  <c r="G161" i="41"/>
  <c r="J161" i="41"/>
  <c r="K161" i="41"/>
  <c r="O161" i="41"/>
  <c r="G163" i="41"/>
  <c r="J163" i="41"/>
  <c r="K163" i="41"/>
  <c r="O163" i="41"/>
  <c r="G165" i="41"/>
  <c r="J165" i="41"/>
  <c r="K165" i="41"/>
  <c r="O165" i="41"/>
  <c r="G167" i="41"/>
  <c r="J167" i="41"/>
  <c r="K167" i="41"/>
  <c r="O167" i="41"/>
  <c r="G168" i="41"/>
  <c r="J168" i="41"/>
  <c r="K168" i="41"/>
  <c r="O168" i="41"/>
  <c r="G169" i="41"/>
  <c r="J169" i="41"/>
  <c r="K169" i="41"/>
  <c r="O169" i="41"/>
  <c r="G170" i="41"/>
  <c r="J170" i="41"/>
  <c r="K170" i="41"/>
  <c r="O170" i="41"/>
  <c r="G171" i="41"/>
  <c r="J171" i="41"/>
  <c r="K171" i="41"/>
  <c r="O171" i="41"/>
  <c r="G172" i="41"/>
  <c r="J172" i="41"/>
  <c r="K172" i="41"/>
  <c r="O172" i="41"/>
  <c r="G174" i="41"/>
  <c r="J174" i="41"/>
  <c r="K174" i="41"/>
  <c r="O174" i="41"/>
  <c r="G176" i="41"/>
  <c r="J176" i="41"/>
  <c r="K176" i="41"/>
  <c r="O176" i="41"/>
  <c r="G177" i="41"/>
  <c r="J177" i="41"/>
  <c r="K177" i="41"/>
  <c r="O177" i="41"/>
  <c r="G178" i="41"/>
  <c r="J178" i="41"/>
  <c r="K178" i="41"/>
  <c r="O178" i="41"/>
  <c r="G180" i="41"/>
  <c r="J180" i="41"/>
  <c r="K180" i="41"/>
  <c r="O180" i="41"/>
  <c r="G182" i="41"/>
  <c r="J182" i="41"/>
  <c r="K182" i="41"/>
  <c r="O182" i="41"/>
  <c r="G183" i="41"/>
  <c r="J183" i="41"/>
  <c r="K183" i="41"/>
  <c r="O183" i="41"/>
  <c r="G185" i="41"/>
  <c r="J185" i="41"/>
  <c r="K185" i="41"/>
  <c r="O185" i="41"/>
  <c r="G187" i="41"/>
  <c r="J187" i="41"/>
  <c r="K187" i="41"/>
  <c r="O187" i="41"/>
  <c r="G188" i="41"/>
  <c r="J188" i="41"/>
  <c r="K188" i="41"/>
  <c r="O188" i="41"/>
  <c r="G190" i="41"/>
  <c r="J190" i="41"/>
  <c r="K190" i="41"/>
  <c r="O190" i="41"/>
  <c r="G192" i="41"/>
  <c r="J192" i="41"/>
  <c r="K192" i="41"/>
  <c r="O192" i="41"/>
  <c r="G193" i="41"/>
  <c r="J193" i="41"/>
  <c r="K193" i="41"/>
  <c r="O193" i="41"/>
  <c r="G195" i="41"/>
  <c r="J195" i="41"/>
  <c r="K195" i="41"/>
  <c r="O195" i="41"/>
  <c r="G196" i="41"/>
  <c r="J196" i="41"/>
  <c r="K196" i="41"/>
  <c r="O196" i="41"/>
  <c r="G198" i="41"/>
  <c r="J198" i="41"/>
  <c r="K198" i="41"/>
  <c r="O198" i="41"/>
  <c r="G199" i="41"/>
  <c r="J199" i="41"/>
  <c r="K199" i="41"/>
  <c r="O199" i="41"/>
  <c r="G200" i="41"/>
  <c r="J200" i="41"/>
  <c r="K200" i="41"/>
  <c r="O200" i="41"/>
  <c r="G201" i="41"/>
  <c r="J201" i="41"/>
  <c r="K201" i="41"/>
  <c r="O201" i="41"/>
  <c r="G203" i="41"/>
  <c r="J203" i="41"/>
  <c r="K203" i="41"/>
  <c r="O203" i="41"/>
  <c r="G204" i="41"/>
  <c r="J204" i="41"/>
  <c r="K204" i="41"/>
  <c r="O204" i="41"/>
  <c r="J5" i="42"/>
  <c r="H34" i="32" l="1"/>
  <c r="A168" i="32"/>
  <c r="H168" i="32" s="1"/>
  <c r="A143" i="32"/>
  <c r="L143" i="32" s="1"/>
  <c r="A167" i="32"/>
  <c r="H167" i="32" s="1"/>
  <c r="A71" i="32"/>
  <c r="H71" i="32" s="1"/>
  <c r="A77" i="32"/>
  <c r="L77" i="32" s="1"/>
  <c r="A112" i="32"/>
  <c r="L112" i="32" s="1"/>
  <c r="A88" i="32"/>
  <c r="H88" i="32" s="1"/>
  <c r="A54" i="32"/>
  <c r="H54" i="32" s="1"/>
  <c r="A163" i="32"/>
  <c r="L163" i="32" s="1"/>
  <c r="A48" i="32"/>
  <c r="L48" i="32" s="1"/>
  <c r="A108" i="32"/>
  <c r="H108" i="32" s="1"/>
  <c r="A44" i="32"/>
  <c r="H44" i="32" s="1"/>
  <c r="A87" i="32"/>
  <c r="L87" i="32" s="1"/>
  <c r="A157" i="32"/>
  <c r="L157" i="32" s="1"/>
  <c r="A94" i="32"/>
  <c r="H94" i="32" s="1"/>
  <c r="A150" i="32"/>
  <c r="H150" i="32" s="1"/>
  <c r="A134" i="32"/>
  <c r="H134" i="32" s="1"/>
  <c r="A117" i="32"/>
  <c r="L117" i="32" s="1"/>
  <c r="A159" i="32"/>
  <c r="H159" i="32" s="1"/>
  <c r="A119" i="32"/>
  <c r="H119" i="32" s="1"/>
  <c r="A98" i="32"/>
  <c r="H98" i="32" s="1"/>
  <c r="A109" i="32"/>
  <c r="L109" i="32" s="1"/>
  <c r="A142" i="32"/>
  <c r="H142" i="32" s="1"/>
  <c r="A58" i="32"/>
  <c r="H58" i="32" s="1"/>
  <c r="A154" i="32"/>
  <c r="H154" i="32" s="1"/>
  <c r="A67" i="32"/>
  <c r="L67" i="32" s="1"/>
  <c r="A138" i="32"/>
  <c r="H138" i="32" s="1"/>
  <c r="A140" i="32"/>
  <c r="H140" i="32" s="1"/>
  <c r="A68" i="32"/>
  <c r="H68" i="32" s="1"/>
  <c r="A146" i="32"/>
  <c r="L146" i="32" s="1"/>
  <c r="A53" i="32"/>
  <c r="H53" i="32" s="1"/>
  <c r="A76" i="32"/>
  <c r="H76" i="32" s="1"/>
  <c r="A115" i="32"/>
  <c r="H115" i="32" s="1"/>
  <c r="A126" i="32"/>
  <c r="H126" i="32" s="1"/>
  <c r="A145" i="32"/>
  <c r="H145" i="32" s="1"/>
  <c r="A60" i="32"/>
  <c r="H60" i="32" s="1"/>
  <c r="A124" i="32"/>
  <c r="L124" i="32" s="1"/>
  <c r="A90" i="32"/>
  <c r="H90" i="32" s="1"/>
  <c r="A147" i="32"/>
  <c r="H147" i="32" s="1"/>
  <c r="A50" i="32"/>
  <c r="H50" i="32" s="1"/>
  <c r="A45" i="32"/>
  <c r="L45" i="32" s="1"/>
  <c r="A120" i="32"/>
  <c r="H120" i="32" s="1"/>
  <c r="A149" i="32"/>
  <c r="H149" i="32" s="1"/>
  <c r="A61" i="32"/>
  <c r="H61" i="32" s="1"/>
  <c r="A130" i="32"/>
  <c r="L130" i="32" s="1"/>
  <c r="A57" i="32"/>
  <c r="H57" i="32" s="1"/>
  <c r="A105" i="32"/>
  <c r="H105" i="32" s="1"/>
  <c r="A49" i="32"/>
  <c r="L49" i="32" s="1"/>
  <c r="A104" i="32"/>
  <c r="H104" i="32" s="1"/>
  <c r="A152" i="32"/>
  <c r="H152" i="32" s="1"/>
  <c r="A47" i="32"/>
  <c r="L47" i="32" s="1"/>
  <c r="A86" i="32"/>
  <c r="L86" i="32" s="1"/>
  <c r="A79" i="32"/>
  <c r="L79" i="32" s="1"/>
  <c r="A116" i="32"/>
  <c r="H116" i="32" s="1"/>
  <c r="A125" i="32"/>
  <c r="H125" i="32" s="1"/>
  <c r="A128" i="32"/>
  <c r="H128" i="32" s="1"/>
  <c r="A106" i="32"/>
  <c r="H106" i="32" s="1"/>
  <c r="A52" i="32"/>
  <c r="H52" i="32" s="1"/>
  <c r="A153" i="32"/>
  <c r="L153" i="32" s="1"/>
  <c r="A155" i="32"/>
  <c r="H155" i="32" s="1"/>
  <c r="A59" i="32"/>
  <c r="H59" i="32" s="1"/>
  <c r="A113" i="32"/>
  <c r="H113" i="32" s="1"/>
  <c r="A158" i="32"/>
  <c r="L158" i="32" s="1"/>
  <c r="A99" i="32"/>
  <c r="H99" i="32" s="1"/>
  <c r="A66" i="32"/>
  <c r="H66" i="32" s="1"/>
  <c r="A63" i="32"/>
  <c r="H63" i="32" s="1"/>
  <c r="A41" i="32"/>
  <c r="L41" i="32" s="1"/>
  <c r="A42" i="32"/>
  <c r="H42" i="32" s="1"/>
  <c r="A51" i="32"/>
  <c r="H51" i="32" s="1"/>
  <c r="A123" i="32"/>
  <c r="H123" i="32" s="1"/>
  <c r="A91" i="32"/>
  <c r="H91" i="32" s="1"/>
  <c r="A156" i="32"/>
  <c r="L156" i="32" s="1"/>
  <c r="A110" i="32"/>
  <c r="H110" i="32" s="1"/>
  <c r="A62" i="32"/>
  <c r="H62" i="32" s="1"/>
  <c r="A162" i="32"/>
  <c r="L162" i="32" s="1"/>
  <c r="A102" i="32"/>
  <c r="H102" i="32" s="1"/>
  <c r="A36" i="32"/>
  <c r="H36" i="32" s="1"/>
  <c r="A161" i="32"/>
  <c r="H161" i="32" s="1"/>
  <c r="A144" i="32"/>
  <c r="H144" i="32" s="1"/>
  <c r="A84" i="32"/>
  <c r="L84" i="32" s="1"/>
  <c r="A131" i="32"/>
  <c r="H131" i="32" s="1"/>
  <c r="A111" i="32"/>
  <c r="H111" i="32" s="1"/>
  <c r="A165" i="32"/>
  <c r="L165" i="32" s="1"/>
  <c r="A141" i="32"/>
  <c r="H141" i="32" s="1"/>
  <c r="A136" i="32"/>
  <c r="A97" i="32"/>
  <c r="H97" i="32" s="1"/>
  <c r="A100" i="32"/>
  <c r="L100" i="32" s="1"/>
  <c r="A78" i="32"/>
  <c r="A127" i="32"/>
  <c r="A132" i="32"/>
  <c r="H132" i="32" s="1"/>
  <c r="A35" i="32"/>
  <c r="A164" i="32"/>
  <c r="A46" i="32"/>
  <c r="L46" i="32" s="1"/>
  <c r="A107" i="32"/>
  <c r="A129" i="32"/>
  <c r="A55" i="32"/>
  <c r="H55" i="32" s="1"/>
  <c r="A135" i="32"/>
  <c r="L135" i="32" s="1"/>
  <c r="A137" i="32"/>
  <c r="A64" i="32"/>
  <c r="A151" i="32"/>
  <c r="A85" i="32"/>
  <c r="H85" i="32" s="1"/>
  <c r="A101" i="32"/>
  <c r="A37" i="32"/>
  <c r="A103" i="32"/>
  <c r="A69" i="32"/>
  <c r="L69" i="32" s="1"/>
  <c r="A43" i="32"/>
  <c r="A95" i="32"/>
  <c r="A92" i="32"/>
  <c r="A65" i="32"/>
  <c r="L65" i="32" s="1"/>
  <c r="A56" i="32"/>
  <c r="A40" i="32"/>
  <c r="A96" i="32"/>
  <c r="L96" i="32" s="1"/>
  <c r="A93" i="32"/>
  <c r="H93" i="32" s="1"/>
  <c r="A73" i="32"/>
  <c r="H73" i="32" s="1"/>
  <c r="A72" i="32"/>
  <c r="H72" i="32" s="1"/>
  <c r="A38" i="32"/>
  <c r="H38" i="32" s="1"/>
  <c r="A166" i="32"/>
  <c r="L166" i="32" s="1"/>
  <c r="A118" i="32"/>
  <c r="H118" i="32" s="1"/>
  <c r="A74" i="32"/>
  <c r="L74" i="32" s="1"/>
  <c r="A83" i="32"/>
  <c r="H83" i="32" s="1"/>
  <c r="A89" i="32"/>
  <c r="L89" i="32" s="1"/>
  <c r="A82" i="32"/>
  <c r="H82" i="32" s="1"/>
  <c r="A160" i="32"/>
  <c r="H160" i="32" s="1"/>
  <c r="A139" i="32"/>
  <c r="H139" i="32" s="1"/>
  <c r="A75" i="32"/>
  <c r="L75" i="32" s="1"/>
  <c r="A70" i="32"/>
  <c r="H70" i="32" s="1"/>
  <c r="A81" i="32"/>
  <c r="H81" i="32" s="1"/>
  <c r="A122" i="32"/>
  <c r="H122" i="32" s="1"/>
  <c r="A133" i="32"/>
  <c r="L133" i="32" s="1"/>
  <c r="A121" i="32"/>
  <c r="H121" i="32" s="1"/>
  <c r="A39" i="32"/>
  <c r="L39" i="32" s="1"/>
  <c r="A114" i="32"/>
  <c r="H114" i="32" s="1"/>
  <c r="A80" i="32"/>
  <c r="L80" i="32" s="1"/>
  <c r="A148" i="32"/>
  <c r="H148" i="32" s="1"/>
  <c r="O80" i="30"/>
  <c r="O196" i="30"/>
  <c r="O159" i="30"/>
  <c r="P159" i="30" s="1"/>
  <c r="O17" i="30"/>
  <c r="O12" i="30"/>
  <c r="P12" i="30" s="1"/>
  <c r="O27" i="30"/>
  <c r="O96" i="30"/>
  <c r="O31" i="30"/>
  <c r="P31" i="30" s="1"/>
  <c r="O186" i="30"/>
  <c r="O53" i="30"/>
  <c r="P53" i="30" s="1"/>
  <c r="O119" i="30"/>
  <c r="O110" i="30"/>
  <c r="P110" i="30" s="1"/>
  <c r="O49" i="30"/>
  <c r="P49" i="30" s="1"/>
  <c r="O164" i="30"/>
  <c r="O177" i="30"/>
  <c r="P177" i="30" s="1"/>
  <c r="O121" i="30"/>
  <c r="P121" i="30" s="1"/>
  <c r="O82" i="30"/>
  <c r="P82" i="30" s="1"/>
  <c r="O183" i="30"/>
  <c r="P183" i="30" s="1"/>
  <c r="O181" i="30"/>
  <c r="P181" i="30" s="1"/>
  <c r="O103" i="30"/>
  <c r="P103" i="30" s="1"/>
  <c r="O47" i="30"/>
  <c r="P47" i="30" s="1"/>
  <c r="O199" i="30"/>
  <c r="P199" i="30" s="1"/>
  <c r="O45" i="30"/>
  <c r="P45" i="30" s="1"/>
  <c r="O193" i="30"/>
  <c r="P193" i="30" s="1"/>
  <c r="O99" i="30"/>
  <c r="P99" i="30" s="1"/>
  <c r="O124" i="30"/>
  <c r="P124" i="30" s="1"/>
  <c r="O60" i="30"/>
  <c r="P60" i="30" s="1"/>
  <c r="O168" i="30"/>
  <c r="P168" i="30" s="1"/>
  <c r="O65" i="30"/>
  <c r="P65" i="30" s="1"/>
  <c r="O37" i="30"/>
  <c r="P37" i="30" s="1"/>
  <c r="O188" i="30"/>
  <c r="P188" i="30" s="1"/>
  <c r="O105" i="30"/>
  <c r="P105" i="30" s="1"/>
  <c r="O19" i="30"/>
  <c r="P19" i="30" s="1"/>
  <c r="O204" i="30"/>
  <c r="P204" i="30" s="1"/>
  <c r="O68" i="30"/>
  <c r="P68" i="30" s="1"/>
  <c r="O116" i="30"/>
  <c r="P116" i="30" s="1"/>
  <c r="O72" i="30"/>
  <c r="P72" i="30" s="1"/>
  <c r="O130" i="30"/>
  <c r="P130" i="30" s="1"/>
  <c r="O78" i="30"/>
  <c r="P78" i="30" s="1"/>
  <c r="O161" i="30"/>
  <c r="P161" i="30" s="1"/>
  <c r="O94" i="30"/>
  <c r="O154" i="30"/>
  <c r="O91" i="30"/>
  <c r="P91" i="30" s="1"/>
  <c r="O108" i="30"/>
  <c r="O175" i="30"/>
  <c r="O191" i="30"/>
  <c r="P191" i="30" s="1"/>
  <c r="O41" i="30"/>
  <c r="O166" i="30"/>
  <c r="O22" i="30"/>
  <c r="P22" i="30" s="1"/>
  <c r="O114" i="30"/>
  <c r="O62" i="30"/>
  <c r="O133" i="30"/>
  <c r="P133" i="30" s="1"/>
  <c r="O84" i="30"/>
  <c r="E191" i="30"/>
  <c r="C191" i="30"/>
  <c r="B191" i="30"/>
  <c r="D191" i="30"/>
  <c r="E161" i="30"/>
  <c r="C161" i="30"/>
  <c r="B161" i="30"/>
  <c r="D161" i="30"/>
  <c r="B119" i="30"/>
  <c r="C119" i="30"/>
  <c r="E119" i="30"/>
  <c r="D119" i="30"/>
  <c r="E65" i="30"/>
  <c r="C65" i="30"/>
  <c r="D65" i="30"/>
  <c r="B65" i="30"/>
  <c r="B53" i="30"/>
  <c r="E53" i="30"/>
  <c r="D53" i="30"/>
  <c r="C53" i="30"/>
  <c r="C47" i="30"/>
  <c r="D47" i="30"/>
  <c r="B47" i="30"/>
  <c r="E47" i="30"/>
  <c r="B41" i="30"/>
  <c r="E41" i="30"/>
  <c r="C41" i="30"/>
  <c r="D41" i="30"/>
  <c r="E17" i="30"/>
  <c r="C17" i="30"/>
  <c r="D17" i="30"/>
  <c r="B17" i="30"/>
  <c r="D154" i="30"/>
  <c r="B154" i="30"/>
  <c r="C154" i="30"/>
  <c r="E154" i="30"/>
  <c r="B130" i="30"/>
  <c r="D130" i="30"/>
  <c r="C130" i="30"/>
  <c r="E130" i="30"/>
  <c r="B166" i="30"/>
  <c r="E166" i="30"/>
  <c r="D166" i="30"/>
  <c r="C166" i="30"/>
  <c r="D124" i="30"/>
  <c r="B124" i="30"/>
  <c r="E124" i="30"/>
  <c r="C124" i="30"/>
  <c r="C94" i="30"/>
  <c r="D94" i="30"/>
  <c r="E94" i="30"/>
  <c r="B94" i="30"/>
  <c r="C82" i="30"/>
  <c r="D82" i="30"/>
  <c r="E82" i="30"/>
  <c r="B82" i="30"/>
  <c r="B22" i="30"/>
  <c r="C22" i="30"/>
  <c r="E22" i="30"/>
  <c r="D22" i="30"/>
  <c r="B183" i="30"/>
  <c r="E183" i="30"/>
  <c r="C183" i="30"/>
  <c r="D183" i="30"/>
  <c r="E177" i="30"/>
  <c r="D177" i="30"/>
  <c r="C177" i="30"/>
  <c r="B177" i="30"/>
  <c r="B159" i="30"/>
  <c r="D159" i="30"/>
  <c r="C159" i="30"/>
  <c r="E159" i="30"/>
  <c r="C105" i="30"/>
  <c r="D105" i="30"/>
  <c r="B105" i="30"/>
  <c r="E105" i="30"/>
  <c r="C99" i="30"/>
  <c r="D99" i="30"/>
  <c r="B99" i="30"/>
  <c r="E99" i="30"/>
  <c r="D45" i="30"/>
  <c r="C45" i="30"/>
  <c r="E45" i="30"/>
  <c r="B45" i="30"/>
  <c r="B27" i="30"/>
  <c r="E27" i="30"/>
  <c r="C27" i="30"/>
  <c r="D27" i="30"/>
  <c r="B196" i="30"/>
  <c r="C196" i="30"/>
  <c r="E196" i="30"/>
  <c r="D196" i="30"/>
  <c r="D188" i="30"/>
  <c r="E188" i="30"/>
  <c r="B188" i="30"/>
  <c r="C188" i="30"/>
  <c r="C164" i="30"/>
  <c r="D164" i="30"/>
  <c r="E164" i="30"/>
  <c r="B164" i="30"/>
  <c r="D116" i="30"/>
  <c r="B116" i="30"/>
  <c r="C116" i="30"/>
  <c r="E116" i="30"/>
  <c r="D110" i="30"/>
  <c r="B110" i="30"/>
  <c r="E110" i="30"/>
  <c r="C110" i="30"/>
  <c r="C80" i="30"/>
  <c r="D80" i="30"/>
  <c r="E80" i="30"/>
  <c r="B80" i="30"/>
  <c r="E68" i="30"/>
  <c r="D68" i="30"/>
  <c r="B68" i="30"/>
  <c r="C68" i="30"/>
  <c r="C62" i="30"/>
  <c r="D62" i="30"/>
  <c r="E62" i="30"/>
  <c r="B62" i="30"/>
  <c r="E199" i="30"/>
  <c r="D199" i="30"/>
  <c r="B199" i="30"/>
  <c r="C199" i="30"/>
  <c r="D193" i="30"/>
  <c r="C193" i="30"/>
  <c r="B193" i="30"/>
  <c r="E193" i="30"/>
  <c r="E181" i="30"/>
  <c r="D181" i="30"/>
  <c r="C181" i="30"/>
  <c r="B181" i="30"/>
  <c r="E175" i="30"/>
  <c r="C175" i="30"/>
  <c r="B175" i="30"/>
  <c r="D175" i="30"/>
  <c r="E133" i="30"/>
  <c r="B133" i="30"/>
  <c r="C133" i="30"/>
  <c r="D133" i="30"/>
  <c r="B121" i="30"/>
  <c r="D121" i="30"/>
  <c r="C121" i="30"/>
  <c r="E121" i="30"/>
  <c r="B103" i="30"/>
  <c r="D103" i="30"/>
  <c r="E103" i="30"/>
  <c r="C103" i="30"/>
  <c r="D91" i="30"/>
  <c r="B91" i="30"/>
  <c r="C91" i="30"/>
  <c r="E91" i="30"/>
  <c r="B49" i="30"/>
  <c r="E49" i="30"/>
  <c r="C49" i="30"/>
  <c r="D49" i="30"/>
  <c r="E37" i="30"/>
  <c r="B37" i="30"/>
  <c r="C37" i="30"/>
  <c r="D37" i="30"/>
  <c r="E31" i="30"/>
  <c r="C31" i="30"/>
  <c r="B31" i="30"/>
  <c r="D31" i="30"/>
  <c r="C19" i="30"/>
  <c r="B19" i="30"/>
  <c r="E19" i="30"/>
  <c r="D19" i="30"/>
  <c r="D204" i="30"/>
  <c r="B204" i="30"/>
  <c r="E204" i="30"/>
  <c r="C204" i="30"/>
  <c r="D186" i="30"/>
  <c r="C186" i="30"/>
  <c r="B186" i="30"/>
  <c r="E186" i="30"/>
  <c r="E168" i="30"/>
  <c r="D168" i="30"/>
  <c r="C168" i="30"/>
  <c r="B168" i="30"/>
  <c r="C114" i="30"/>
  <c r="D114" i="30"/>
  <c r="B114" i="30"/>
  <c r="E114" i="30"/>
  <c r="E108" i="30"/>
  <c r="D108" i="30"/>
  <c r="C108" i="30"/>
  <c r="B108" i="30"/>
  <c r="D96" i="30"/>
  <c r="B96" i="30"/>
  <c r="C96" i="30"/>
  <c r="E96" i="30"/>
  <c r="B84" i="30"/>
  <c r="D84" i="30"/>
  <c r="E84" i="30"/>
  <c r="C84" i="30"/>
  <c r="E78" i="30"/>
  <c r="C78" i="30"/>
  <c r="D78" i="30"/>
  <c r="B78" i="30"/>
  <c r="E72" i="30"/>
  <c r="B72" i="30"/>
  <c r="D72" i="30"/>
  <c r="C72" i="30"/>
  <c r="D60" i="30"/>
  <c r="B60" i="30"/>
  <c r="E60" i="30"/>
  <c r="C60" i="30"/>
  <c r="E12" i="30"/>
  <c r="C12" i="30"/>
  <c r="D12" i="30"/>
  <c r="B12" i="30"/>
  <c r="L83" i="32" l="1"/>
  <c r="L122" i="32"/>
  <c r="H163" i="32"/>
  <c r="H74" i="32"/>
  <c r="L81" i="32"/>
  <c r="L72" i="32"/>
  <c r="H157" i="32"/>
  <c r="H135" i="32"/>
  <c r="H158" i="32"/>
  <c r="H49" i="32"/>
  <c r="H39" i="32"/>
  <c r="L160" i="32"/>
  <c r="L38" i="32"/>
  <c r="H112" i="32"/>
  <c r="H77" i="32"/>
  <c r="H100" i="32"/>
  <c r="H86" i="32"/>
  <c r="L93" i="32"/>
  <c r="H143" i="32"/>
  <c r="L114" i="32"/>
  <c r="H46" i="32"/>
  <c r="H153" i="32"/>
  <c r="H117" i="32"/>
  <c r="H87" i="32"/>
  <c r="L139" i="32"/>
  <c r="L85" i="32"/>
  <c r="L92" i="32"/>
  <c r="H92" i="32"/>
  <c r="H80" i="32"/>
  <c r="H133" i="32"/>
  <c r="H75" i="32"/>
  <c r="H89" i="32"/>
  <c r="H166" i="32"/>
  <c r="L95" i="32"/>
  <c r="H95" i="32"/>
  <c r="H162" i="32"/>
  <c r="H43" i="32"/>
  <c r="L43" i="32"/>
  <c r="H127" i="32"/>
  <c r="L127" i="32"/>
  <c r="H78" i="32"/>
  <c r="L78" i="32"/>
  <c r="H84" i="32"/>
  <c r="H45" i="32"/>
  <c r="H137" i="32"/>
  <c r="L137" i="32"/>
  <c r="P62" i="30"/>
  <c r="P166" i="30"/>
  <c r="P175" i="30"/>
  <c r="P154" i="30"/>
  <c r="P96" i="30"/>
  <c r="P196" i="30"/>
  <c r="P80" i="30"/>
  <c r="H69" i="32"/>
  <c r="H129" i="32"/>
  <c r="L129" i="32"/>
  <c r="H41" i="32"/>
  <c r="H109" i="32"/>
  <c r="H103" i="32"/>
  <c r="L103" i="32"/>
  <c r="H107" i="32"/>
  <c r="L107" i="32"/>
  <c r="P164" i="30"/>
  <c r="P119" i="30"/>
  <c r="H96" i="32"/>
  <c r="H37" i="32"/>
  <c r="L37" i="32"/>
  <c r="H156" i="32"/>
  <c r="H146" i="32"/>
  <c r="H40" i="32"/>
  <c r="L40" i="32"/>
  <c r="L101" i="32"/>
  <c r="H101" i="32"/>
  <c r="H136" i="32"/>
  <c r="L136" i="32"/>
  <c r="P84" i="30"/>
  <c r="P114" i="30"/>
  <c r="P41" i="30"/>
  <c r="P108" i="30"/>
  <c r="P94" i="30"/>
  <c r="P186" i="30"/>
  <c r="P27" i="30"/>
  <c r="P17" i="30"/>
  <c r="L148" i="32"/>
  <c r="L121" i="32"/>
  <c r="L70" i="32"/>
  <c r="L82" i="32"/>
  <c r="L118" i="32"/>
  <c r="L73" i="32"/>
  <c r="H124" i="32"/>
  <c r="H48" i="32"/>
  <c r="H56" i="32"/>
  <c r="L56" i="32"/>
  <c r="H164" i="32"/>
  <c r="L164" i="32"/>
  <c r="H151" i="32"/>
  <c r="L151" i="32"/>
  <c r="H35" i="32"/>
  <c r="L35" i="32"/>
  <c r="H165" i="32"/>
  <c r="H130" i="32"/>
  <c r="H65" i="32"/>
  <c r="H64" i="32"/>
  <c r="L64" i="32"/>
  <c r="H67" i="32"/>
  <c r="L55" i="32"/>
  <c r="L132" i="32"/>
  <c r="L97" i="32"/>
  <c r="L111" i="32"/>
  <c r="L144" i="32"/>
  <c r="L91" i="32"/>
  <c r="L123" i="32"/>
  <c r="L63" i="32"/>
  <c r="L113" i="32"/>
  <c r="L52" i="32"/>
  <c r="L125" i="32"/>
  <c r="H47" i="32"/>
  <c r="L105" i="32"/>
  <c r="L61" i="32"/>
  <c r="L50" i="32"/>
  <c r="L60" i="32"/>
  <c r="L115" i="32"/>
  <c r="L68" i="32"/>
  <c r="L154" i="32"/>
  <c r="L98" i="32"/>
  <c r="L134" i="32"/>
  <c r="L34" i="32"/>
  <c r="L161" i="32"/>
  <c r="L62" i="32"/>
  <c r="L51" i="32"/>
  <c r="L66" i="32"/>
  <c r="L59" i="32"/>
  <c r="L106" i="32"/>
  <c r="L116" i="32"/>
  <c r="L152" i="32"/>
  <c r="L149" i="32"/>
  <c r="L147" i="32"/>
  <c r="L145" i="32"/>
  <c r="L76" i="32"/>
  <c r="L140" i="32"/>
  <c r="L58" i="32"/>
  <c r="L119" i="32"/>
  <c r="L150" i="32"/>
  <c r="L44" i="32"/>
  <c r="L54" i="32"/>
  <c r="L71" i="32"/>
  <c r="L168" i="32"/>
  <c r="L141" i="32"/>
  <c r="L131" i="32"/>
  <c r="L36" i="32"/>
  <c r="L102" i="32"/>
  <c r="L110" i="32"/>
  <c r="L42" i="32"/>
  <c r="L99" i="32"/>
  <c r="L155" i="32"/>
  <c r="L128" i="32"/>
  <c r="H79" i="32"/>
  <c r="L104" i="32"/>
  <c r="L57" i="32"/>
  <c r="L120" i="32"/>
  <c r="L90" i="32"/>
  <c r="L126" i="32"/>
  <c r="L53" i="32"/>
  <c r="L138" i="32"/>
  <c r="L142" i="32"/>
  <c r="L159" i="32"/>
  <c r="L94" i="32"/>
  <c r="L108" i="32"/>
  <c r="L88" i="32"/>
  <c r="L167" i="32"/>
  <c r="K24" i="32" l="1"/>
  <c r="H25" i="32"/>
  <c r="J7" i="2" l="1"/>
  <c r="J8" i="2" s="1"/>
  <c r="J9" i="2" s="1"/>
  <c r="K25" i="32"/>
  <c r="K26" i="32" s="1"/>
  <c r="F25" i="32"/>
  <c r="L205" i="30" l="1"/>
  <c r="G205" i="30"/>
  <c r="M205" i="30"/>
  <c r="Q205" i="30"/>
  <c r="G111" i="30"/>
  <c r="Q171" i="30"/>
  <c r="Q115" i="30"/>
  <c r="Q25" i="30"/>
  <c r="M176" i="30"/>
  <c r="M120" i="30"/>
  <c r="M29" i="30"/>
  <c r="L158" i="30"/>
  <c r="L87" i="30"/>
  <c r="G185" i="30"/>
  <c r="G132" i="30"/>
  <c r="G50" i="30"/>
  <c r="Q149" i="30"/>
  <c r="Q95" i="30"/>
  <c r="Q32" i="30"/>
  <c r="M156" i="30"/>
  <c r="M109" i="30"/>
  <c r="M39" i="30"/>
  <c r="L153" i="30"/>
  <c r="L104" i="30"/>
  <c r="L35" i="30"/>
  <c r="G178" i="30"/>
  <c r="G123" i="30"/>
  <c r="G61" i="30"/>
  <c r="Q169" i="30"/>
  <c r="Q111" i="30"/>
  <c r="Q52" i="30"/>
  <c r="M187" i="30"/>
  <c r="M136" i="30"/>
  <c r="M64" i="30"/>
  <c r="L172" i="30"/>
  <c r="L125" i="30"/>
  <c r="L55" i="30"/>
  <c r="G184" i="30"/>
  <c r="Q128" i="30"/>
  <c r="Q70" i="30"/>
  <c r="L76" i="30"/>
  <c r="L18" i="30"/>
  <c r="G189" i="30"/>
  <c r="G89" i="30"/>
  <c r="G66" i="30"/>
  <c r="Q173" i="30"/>
  <c r="M26" i="30"/>
  <c r="L101" i="30"/>
  <c r="L131" i="30"/>
  <c r="L46" i="30"/>
  <c r="G55" i="30"/>
  <c r="Q163" i="30"/>
  <c r="Q100" i="30"/>
  <c r="Q13" i="30"/>
  <c r="M171" i="30"/>
  <c r="M115" i="30"/>
  <c r="M25" i="30"/>
  <c r="L150" i="30"/>
  <c r="L79" i="30"/>
  <c r="G165" i="30"/>
  <c r="G180" i="30"/>
  <c r="G127" i="30"/>
  <c r="G33" i="30"/>
  <c r="Q146" i="30"/>
  <c r="Q90" i="30"/>
  <c r="Q28" i="30"/>
  <c r="M153" i="30"/>
  <c r="M104" i="30"/>
  <c r="M35" i="30"/>
  <c r="L149" i="30"/>
  <c r="L95" i="30"/>
  <c r="L32" i="30"/>
  <c r="G174" i="30"/>
  <c r="G118" i="30"/>
  <c r="G56" i="30"/>
  <c r="Q165" i="30"/>
  <c r="Q107" i="30"/>
  <c r="Q42" i="30"/>
  <c r="M182" i="30"/>
  <c r="M129" i="30"/>
  <c r="M59" i="30"/>
  <c r="L169" i="30"/>
  <c r="L111" i="30"/>
  <c r="L52" i="30"/>
  <c r="M197" i="30"/>
  <c r="L194" i="30"/>
  <c r="Q40" i="30"/>
  <c r="M76" i="30"/>
  <c r="M66" i="30"/>
  <c r="G92" i="30"/>
  <c r="G97" i="30"/>
  <c r="G76" i="30"/>
  <c r="Q179" i="30"/>
  <c r="G16" i="30"/>
  <c r="L173" i="30"/>
  <c r="Q131" i="30"/>
  <c r="F4" i="30"/>
  <c r="G14" i="30"/>
  <c r="Q158" i="30"/>
  <c r="Q87" i="30"/>
  <c r="G200" i="30"/>
  <c r="M163" i="30"/>
  <c r="M100" i="30"/>
  <c r="M13" i="30"/>
  <c r="L147" i="30"/>
  <c r="L74" i="30"/>
  <c r="G136" i="30"/>
  <c r="G176" i="30"/>
  <c r="G120" i="30"/>
  <c r="G29" i="30"/>
  <c r="Q143" i="30"/>
  <c r="Q86" i="30"/>
  <c r="Q24" i="30"/>
  <c r="M149" i="30"/>
  <c r="M95" i="30"/>
  <c r="M32" i="30"/>
  <c r="L146" i="30"/>
  <c r="L90" i="30"/>
  <c r="L28" i="30"/>
  <c r="G167" i="30"/>
  <c r="G113" i="30"/>
  <c r="G43" i="30"/>
  <c r="G198" i="30"/>
  <c r="Q160" i="30"/>
  <c r="Q102" i="30"/>
  <c r="Q38" i="30"/>
  <c r="M172" i="30"/>
  <c r="M125" i="30"/>
  <c r="M55" i="30"/>
  <c r="L165" i="30"/>
  <c r="L107" i="30"/>
  <c r="L42" i="30"/>
  <c r="L97" i="30"/>
  <c r="L63" i="30"/>
  <c r="M40" i="30"/>
  <c r="Q66" i="30"/>
  <c r="M21" i="30"/>
  <c r="Q63" i="30"/>
  <c r="Q30" i="30"/>
  <c r="G197" i="30"/>
  <c r="Q189" i="30"/>
  <c r="Q44" i="30"/>
  <c r="M117" i="30"/>
  <c r="G179" i="30"/>
  <c r="Q150" i="30"/>
  <c r="Q79" i="30"/>
  <c r="G151" i="30"/>
  <c r="M158" i="30"/>
  <c r="M87" i="30"/>
  <c r="G182" i="30"/>
  <c r="L144" i="30"/>
  <c r="L71" i="30"/>
  <c r="G107" i="30"/>
  <c r="G171" i="30"/>
  <c r="G115" i="30"/>
  <c r="G25" i="30"/>
  <c r="Q140" i="30"/>
  <c r="Q83" i="30"/>
  <c r="Q20" i="30"/>
  <c r="M146" i="30"/>
  <c r="M90" i="30"/>
  <c r="M28" i="30"/>
  <c r="L143" i="30"/>
  <c r="L86" i="30"/>
  <c r="L24" i="30"/>
  <c r="G156" i="30"/>
  <c r="G109" i="30"/>
  <c r="G39" i="30"/>
  <c r="G170" i="30"/>
  <c r="Q155" i="30"/>
  <c r="Q98" i="30"/>
  <c r="Q34" i="30"/>
  <c r="M169" i="30"/>
  <c r="M111" i="30"/>
  <c r="M52" i="30"/>
  <c r="M192" i="30"/>
  <c r="L160" i="30"/>
  <c r="L102" i="30"/>
  <c r="L38" i="30"/>
  <c r="G112" i="30"/>
  <c r="L44" i="30"/>
  <c r="L51" i="30"/>
  <c r="Q76" i="30"/>
  <c r="G157" i="30"/>
  <c r="L179" i="30"/>
  <c r="M128" i="30"/>
  <c r="L202" i="30"/>
  <c r="G44" i="30"/>
  <c r="G162" i="30"/>
  <c r="G173" i="30"/>
  <c r="Q147" i="30"/>
  <c r="Q74" i="30"/>
  <c r="G129" i="30"/>
  <c r="M150" i="30"/>
  <c r="M79" i="30"/>
  <c r="G145" i="30"/>
  <c r="L203" i="30"/>
  <c r="L141" i="30"/>
  <c r="L67" i="30"/>
  <c r="G64" i="30"/>
  <c r="G163" i="30"/>
  <c r="G100" i="30"/>
  <c r="G13" i="30"/>
  <c r="Q201" i="30"/>
  <c r="Q137" i="30"/>
  <c r="Q77" i="30"/>
  <c r="Q15" i="30"/>
  <c r="M143" i="30"/>
  <c r="M86" i="30"/>
  <c r="M24" i="30"/>
  <c r="L140" i="30"/>
  <c r="L83" i="30"/>
  <c r="L20" i="30"/>
  <c r="G153" i="30"/>
  <c r="G104" i="30"/>
  <c r="G35" i="30"/>
  <c r="Q151" i="30"/>
  <c r="Q93" i="30"/>
  <c r="Q23" i="30"/>
  <c r="M165" i="30"/>
  <c r="M107" i="30"/>
  <c r="M42" i="30"/>
  <c r="L155" i="30"/>
  <c r="L98" i="30"/>
  <c r="L34" i="30"/>
  <c r="G106" i="30"/>
  <c r="M202" i="30"/>
  <c r="Q89" i="30"/>
  <c r="Q197" i="30"/>
  <c r="L189" i="30"/>
  <c r="G117" i="30"/>
  <c r="M101" i="30"/>
  <c r="Q92" i="30"/>
  <c r="M36" i="30"/>
  <c r="M179" i="30"/>
  <c r="G40" i="30"/>
  <c r="M162" i="30"/>
  <c r="L117" i="30"/>
  <c r="Q144" i="30"/>
  <c r="Q71" i="30"/>
  <c r="G102" i="30"/>
  <c r="M147" i="30"/>
  <c r="M74" i="30"/>
  <c r="G125" i="30"/>
  <c r="L195" i="30"/>
  <c r="L138" i="30"/>
  <c r="L57" i="30"/>
  <c r="G38" i="30"/>
  <c r="G158" i="30"/>
  <c r="G87" i="30"/>
  <c r="G187" i="30"/>
  <c r="Q198" i="30"/>
  <c r="Q134" i="30"/>
  <c r="Q73" i="30"/>
  <c r="G148" i="30"/>
  <c r="M140" i="30"/>
  <c r="M83" i="30"/>
  <c r="M20" i="30"/>
  <c r="L201" i="30"/>
  <c r="L137" i="30"/>
  <c r="L77" i="30"/>
  <c r="L15" i="30"/>
  <c r="G149" i="30"/>
  <c r="G95" i="30"/>
  <c r="G32" i="30"/>
  <c r="Q148" i="30"/>
  <c r="Q88" i="30"/>
  <c r="Q14" i="30"/>
  <c r="M160" i="30"/>
  <c r="M102" i="30"/>
  <c r="M38" i="30"/>
  <c r="L151" i="30"/>
  <c r="L93" i="30"/>
  <c r="L23" i="30"/>
  <c r="M70" i="30"/>
  <c r="L40" i="30"/>
  <c r="L58" i="30"/>
  <c r="G131" i="30"/>
  <c r="Q122" i="30"/>
  <c r="L16" i="30"/>
  <c r="M173" i="30"/>
  <c r="Q117" i="30"/>
  <c r="G51" i="30"/>
  <c r="L48" i="30"/>
  <c r="L92" i="30"/>
  <c r="Q203" i="30"/>
  <c r="Q141" i="30"/>
  <c r="Q67" i="30"/>
  <c r="G59" i="30"/>
  <c r="M144" i="30"/>
  <c r="M71" i="30"/>
  <c r="G93" i="30"/>
  <c r="L190" i="30"/>
  <c r="L135" i="30"/>
  <c r="L54" i="30"/>
  <c r="G150" i="30"/>
  <c r="G79" i="30"/>
  <c r="G142" i="30"/>
  <c r="Q178" i="30"/>
  <c r="Q126" i="30"/>
  <c r="Q69" i="30"/>
  <c r="G75" i="30"/>
  <c r="M137" i="30"/>
  <c r="M77" i="30"/>
  <c r="M15" i="30"/>
  <c r="L198" i="30"/>
  <c r="L134" i="30"/>
  <c r="L73" i="30"/>
  <c r="G146" i="30"/>
  <c r="G90" i="30"/>
  <c r="G28" i="30"/>
  <c r="Q145" i="30"/>
  <c r="Q85" i="30"/>
  <c r="M155" i="30"/>
  <c r="M98" i="30"/>
  <c r="M34" i="30"/>
  <c r="L148" i="30"/>
  <c r="L88" i="30"/>
  <c r="L14" i="30"/>
  <c r="M112" i="30"/>
  <c r="M89" i="30"/>
  <c r="M16" i="30"/>
  <c r="M189" i="30"/>
  <c r="Q184" i="30"/>
  <c r="M48" i="30"/>
  <c r="M106" i="30"/>
  <c r="M44" i="30"/>
  <c r="L197" i="30"/>
  <c r="Q97" i="30"/>
  <c r="Q26" i="30"/>
  <c r="L21" i="30"/>
  <c r="L162" i="30"/>
  <c r="Q195" i="30"/>
  <c r="Q138" i="30"/>
  <c r="Q57" i="30"/>
  <c r="G34" i="30"/>
  <c r="M141" i="30"/>
  <c r="M67" i="30"/>
  <c r="G52" i="30"/>
  <c r="L185" i="30"/>
  <c r="L132" i="30"/>
  <c r="L50" i="30"/>
  <c r="G147" i="30"/>
  <c r="G74" i="30"/>
  <c r="G98" i="30"/>
  <c r="Q174" i="30"/>
  <c r="Q123" i="30"/>
  <c r="Q61" i="30"/>
  <c r="M134" i="30"/>
  <c r="M73" i="30"/>
  <c r="G192" i="30"/>
  <c r="L178" i="30"/>
  <c r="L126" i="30"/>
  <c r="L69" i="30"/>
  <c r="G155" i="30"/>
  <c r="G143" i="30"/>
  <c r="G86" i="30"/>
  <c r="G24" i="30"/>
  <c r="Q200" i="30"/>
  <c r="Q142" i="30"/>
  <c r="Q81" i="30"/>
  <c r="G85" i="30"/>
  <c r="M151" i="30"/>
  <c r="M93" i="30"/>
  <c r="M23" i="30"/>
  <c r="L145" i="30"/>
  <c r="L85" i="30"/>
  <c r="Q157" i="30"/>
  <c r="L152" i="30"/>
  <c r="G63" i="30"/>
  <c r="M157" i="30"/>
  <c r="Q152" i="30"/>
  <c r="L26" i="30"/>
  <c r="G48" i="30"/>
  <c r="G18" i="30"/>
  <c r="Q51" i="30"/>
  <c r="G101" i="30"/>
  <c r="M46" i="30"/>
  <c r="Q16" i="30"/>
  <c r="Q190" i="30"/>
  <c r="Q135" i="30"/>
  <c r="Q54" i="30"/>
  <c r="M138" i="30"/>
  <c r="M57" i="30"/>
  <c r="G42" i="30"/>
  <c r="L180" i="30"/>
  <c r="L127" i="30"/>
  <c r="L33" i="30"/>
  <c r="G144" i="30"/>
  <c r="G71" i="30"/>
  <c r="G23" i="30"/>
  <c r="Q170" i="30"/>
  <c r="Q118" i="30"/>
  <c r="Q56" i="30"/>
  <c r="M201" i="30"/>
  <c r="M126" i="30"/>
  <c r="M69" i="30"/>
  <c r="G139" i="30"/>
  <c r="L174" i="30"/>
  <c r="L123" i="30"/>
  <c r="L61" i="30"/>
  <c r="G81" i="30"/>
  <c r="G140" i="30"/>
  <c r="G83" i="30"/>
  <c r="G20" i="30"/>
  <c r="Q192" i="30"/>
  <c r="Q139" i="30"/>
  <c r="Q75" i="30"/>
  <c r="M148" i="30"/>
  <c r="M88" i="30"/>
  <c r="M14" i="30"/>
  <c r="L200" i="30"/>
  <c r="L142" i="30"/>
  <c r="L81" i="30"/>
  <c r="L128" i="30"/>
  <c r="L112" i="30"/>
  <c r="G36" i="30"/>
  <c r="L30" i="30"/>
  <c r="G30" i="30"/>
  <c r="M63" i="30"/>
  <c r="M184" i="30"/>
  <c r="M97" i="30"/>
  <c r="L36" i="30"/>
  <c r="M18" i="30"/>
  <c r="M51" i="30"/>
  <c r="Q194" i="30"/>
  <c r="Q112" i="30"/>
  <c r="Q185" i="30"/>
  <c r="Q132" i="30"/>
  <c r="Q50" i="30"/>
  <c r="M195" i="30"/>
  <c r="M135" i="30"/>
  <c r="M54" i="30"/>
  <c r="L176" i="30"/>
  <c r="L120" i="30"/>
  <c r="L29" i="30"/>
  <c r="G203" i="30"/>
  <c r="G141" i="30"/>
  <c r="G67" i="30"/>
  <c r="Q167" i="30"/>
  <c r="Q113" i="30"/>
  <c r="Q43" i="30"/>
  <c r="M178" i="30"/>
  <c r="M123" i="30"/>
  <c r="M61" i="30"/>
  <c r="L170" i="30"/>
  <c r="L118" i="30"/>
  <c r="L56" i="30"/>
  <c r="G137" i="30"/>
  <c r="G77" i="30"/>
  <c r="G15" i="30"/>
  <c r="Q187" i="30"/>
  <c r="Q136" i="30"/>
  <c r="Q64" i="30"/>
  <c r="M145" i="30"/>
  <c r="M85" i="30"/>
  <c r="G169" i="30"/>
  <c r="L192" i="30"/>
  <c r="L139" i="30"/>
  <c r="L75" i="30"/>
  <c r="L70" i="30"/>
  <c r="G70" i="30"/>
  <c r="M122" i="30"/>
  <c r="L157" i="30"/>
  <c r="L184" i="30"/>
  <c r="G122" i="30"/>
  <c r="L66" i="30"/>
  <c r="Q36" i="30"/>
  <c r="G46" i="30"/>
  <c r="L89" i="30"/>
  <c r="M131" i="30"/>
  <c r="Q48" i="30"/>
  <c r="M127" i="30"/>
  <c r="G190" i="30"/>
  <c r="Q35" i="30"/>
  <c r="L109" i="30"/>
  <c r="Q172" i="30"/>
  <c r="M92" i="30"/>
  <c r="G128" i="30"/>
  <c r="M84" i="30"/>
  <c r="M12" i="30"/>
  <c r="G49" i="30"/>
  <c r="M152" i="30"/>
  <c r="G96" i="30"/>
  <c r="M50" i="30"/>
  <c r="G138" i="30"/>
  <c r="M174" i="30"/>
  <c r="L43" i="30"/>
  <c r="Q129" i="30"/>
  <c r="L187" i="30"/>
  <c r="L106" i="30"/>
  <c r="Q58" i="30"/>
  <c r="Q121" i="30"/>
  <c r="Q181" i="30"/>
  <c r="Q47" i="30"/>
  <c r="Q193" i="30"/>
  <c r="L60" i="30"/>
  <c r="Q37" i="30"/>
  <c r="Q19" i="30"/>
  <c r="Q116" i="30"/>
  <c r="Q78" i="30"/>
  <c r="M124" i="30"/>
  <c r="M82" i="30"/>
  <c r="M204" i="30"/>
  <c r="M168" i="30"/>
  <c r="M108" i="30"/>
  <c r="M72" i="30"/>
  <c r="G103" i="30"/>
  <c r="G60" i="30"/>
  <c r="G172" i="30"/>
  <c r="M33" i="30"/>
  <c r="G135" i="30"/>
  <c r="M167" i="30"/>
  <c r="L39" i="30"/>
  <c r="Q125" i="30"/>
  <c r="L182" i="30"/>
  <c r="Q18" i="30"/>
  <c r="G58" i="30"/>
  <c r="L121" i="30"/>
  <c r="L181" i="30"/>
  <c r="L47" i="30"/>
  <c r="L193" i="30"/>
  <c r="Q60" i="30"/>
  <c r="L37" i="30"/>
  <c r="L19" i="30"/>
  <c r="L116" i="30"/>
  <c r="L78" i="30"/>
  <c r="G161" i="30"/>
  <c r="G65" i="30"/>
  <c r="G47" i="30"/>
  <c r="G17" i="30"/>
  <c r="G130" i="30"/>
  <c r="G177" i="30"/>
  <c r="G105" i="30"/>
  <c r="G45" i="30"/>
  <c r="G164" i="30"/>
  <c r="G110" i="30"/>
  <c r="G68" i="30"/>
  <c r="G199" i="30"/>
  <c r="G181" i="30"/>
  <c r="G133" i="30"/>
  <c r="G31" i="30"/>
  <c r="M58" i="30"/>
  <c r="Q180" i="30"/>
  <c r="M203" i="30"/>
  <c r="G57" i="30"/>
  <c r="M118" i="30"/>
  <c r="Q59" i="30"/>
  <c r="L136" i="30"/>
  <c r="Q106" i="30"/>
  <c r="M196" i="30"/>
  <c r="M116" i="30"/>
  <c r="M62" i="30"/>
  <c r="M175" i="30"/>
  <c r="M91" i="30"/>
  <c r="M19" i="30"/>
  <c r="G88" i="30"/>
  <c r="G22" i="30"/>
  <c r="Q176" i="30"/>
  <c r="M185" i="30"/>
  <c r="G54" i="30"/>
  <c r="M113" i="30"/>
  <c r="G201" i="30"/>
  <c r="Q55" i="30"/>
  <c r="L129" i="30"/>
  <c r="Q21" i="30"/>
  <c r="Q202" i="30"/>
  <c r="Q80" i="30"/>
  <c r="Q196" i="30"/>
  <c r="Q96" i="30"/>
  <c r="Q154" i="30"/>
  <c r="Q175" i="30"/>
  <c r="L166" i="30"/>
  <c r="Q62" i="30"/>
  <c r="M191" i="30"/>
  <c r="M119" i="30"/>
  <c r="M53" i="30"/>
  <c r="M41" i="30"/>
  <c r="M154" i="30"/>
  <c r="M183" i="30"/>
  <c r="M159" i="30"/>
  <c r="M99" i="30"/>
  <c r="M27" i="30"/>
  <c r="M188" i="30"/>
  <c r="M80" i="30"/>
  <c r="M193" i="30"/>
  <c r="M121" i="30"/>
  <c r="M37" i="30"/>
  <c r="L53" i="30"/>
  <c r="G78" i="30"/>
  <c r="Q127" i="30"/>
  <c r="L171" i="30"/>
  <c r="M56" i="30"/>
  <c r="G134" i="30"/>
  <c r="L64" i="30"/>
  <c r="G202" i="30"/>
  <c r="G152" i="30"/>
  <c r="L82" i="30"/>
  <c r="L103" i="30"/>
  <c r="Q199" i="30"/>
  <c r="Q99" i="30"/>
  <c r="Q168" i="30"/>
  <c r="Q188" i="30"/>
  <c r="Q204" i="30"/>
  <c r="Q72" i="30"/>
  <c r="Q161" i="30"/>
  <c r="G124" i="30"/>
  <c r="G82" i="30"/>
  <c r="G204" i="30"/>
  <c r="G168" i="30"/>
  <c r="G108" i="30"/>
  <c r="G84" i="30"/>
  <c r="G72" i="30"/>
  <c r="G12" i="30"/>
  <c r="L49" i="30"/>
  <c r="G186" i="30"/>
  <c r="Q120" i="30"/>
  <c r="L163" i="30"/>
  <c r="M43" i="30"/>
  <c r="G126" i="30"/>
  <c r="M200" i="30"/>
  <c r="L59" i="30"/>
  <c r="M194" i="30"/>
  <c r="Q101" i="30"/>
  <c r="Q82" i="30"/>
  <c r="Q103" i="30"/>
  <c r="L199" i="30"/>
  <c r="L99" i="30"/>
  <c r="L168" i="30"/>
  <c r="L188" i="30"/>
  <c r="L204" i="30"/>
  <c r="L72" i="30"/>
  <c r="L161" i="30"/>
  <c r="G94" i="30"/>
  <c r="Q33" i="30"/>
  <c r="L115" i="30"/>
  <c r="Q156" i="30"/>
  <c r="M198" i="30"/>
  <c r="G73" i="30"/>
  <c r="M142" i="30"/>
  <c r="G21" i="30"/>
  <c r="Q162" i="30"/>
  <c r="M166" i="30"/>
  <c r="M94" i="30"/>
  <c r="M22" i="30"/>
  <c r="M186" i="30"/>
  <c r="M114" i="30"/>
  <c r="M96" i="30"/>
  <c r="M78" i="30"/>
  <c r="M60" i="30"/>
  <c r="G99" i="30"/>
  <c r="G188" i="30"/>
  <c r="G62" i="30"/>
  <c r="G175" i="30"/>
  <c r="G91" i="30"/>
  <c r="G19" i="30"/>
  <c r="L113" i="30"/>
  <c r="Q29" i="30"/>
  <c r="L100" i="30"/>
  <c r="Q153" i="30"/>
  <c r="M170" i="30"/>
  <c r="G69" i="30"/>
  <c r="M139" i="30"/>
  <c r="G26" i="30"/>
  <c r="G194" i="30"/>
  <c r="L159" i="30"/>
  <c r="Q12" i="30"/>
  <c r="Q31" i="30"/>
  <c r="Q91" i="30"/>
  <c r="Q191" i="30"/>
  <c r="Q22" i="30"/>
  <c r="Q133" i="30"/>
  <c r="G191" i="30"/>
  <c r="G119" i="30"/>
  <c r="G53" i="30"/>
  <c r="G41" i="30"/>
  <c r="G154" i="30"/>
  <c r="G183" i="30"/>
  <c r="G159" i="30"/>
  <c r="G27" i="30"/>
  <c r="G196" i="30"/>
  <c r="G116" i="30"/>
  <c r="G80" i="30"/>
  <c r="G193" i="30"/>
  <c r="G121" i="30"/>
  <c r="G37" i="30"/>
  <c r="G166" i="30"/>
  <c r="M190" i="30"/>
  <c r="L25" i="30"/>
  <c r="Q109" i="30"/>
  <c r="L167" i="30"/>
  <c r="M81" i="30"/>
  <c r="L122" i="30"/>
  <c r="M30" i="30"/>
  <c r="Q159" i="30"/>
  <c r="L12" i="30"/>
  <c r="L31" i="30"/>
  <c r="L91" i="30"/>
  <c r="L191" i="30"/>
  <c r="L22" i="30"/>
  <c r="L133" i="30"/>
  <c r="M180" i="30"/>
  <c r="L13" i="30"/>
  <c r="Q104" i="30"/>
  <c r="L156" i="30"/>
  <c r="G160" i="30"/>
  <c r="M75" i="30"/>
  <c r="Q46" i="30"/>
  <c r="Q53" i="30"/>
  <c r="Q49" i="30"/>
  <c r="M161" i="30"/>
  <c r="M65" i="30"/>
  <c r="M47" i="30"/>
  <c r="M17" i="30"/>
  <c r="M130" i="30"/>
  <c r="M177" i="30"/>
  <c r="M105" i="30"/>
  <c r="M45" i="30"/>
  <c r="M164" i="30"/>
  <c r="M110" i="30"/>
  <c r="M68" i="30"/>
  <c r="M199" i="30"/>
  <c r="M181" i="30"/>
  <c r="M133" i="30"/>
  <c r="M103" i="30"/>
  <c r="M49" i="30"/>
  <c r="M31" i="30"/>
  <c r="M132" i="30"/>
  <c r="G195" i="30"/>
  <c r="Q39" i="30"/>
  <c r="Q182" i="30"/>
  <c r="G114" i="30"/>
  <c r="L114" i="30"/>
  <c r="L175" i="30"/>
  <c r="L130" i="30"/>
  <c r="Q45" i="30"/>
  <c r="L17" i="30"/>
  <c r="Q177" i="30"/>
  <c r="Q108" i="30"/>
  <c r="L68" i="30"/>
  <c r="L84" i="30"/>
  <c r="Q41" i="30"/>
  <c r="Q84" i="30"/>
  <c r="L105" i="30"/>
  <c r="Q183" i="30"/>
  <c r="Q114" i="30"/>
  <c r="L119" i="30"/>
  <c r="L65" i="30"/>
  <c r="L164" i="30"/>
  <c r="L41" i="30"/>
  <c r="Q164" i="30"/>
  <c r="L154" i="30"/>
  <c r="L124" i="30"/>
  <c r="Q119" i="30"/>
  <c r="L108" i="30"/>
  <c r="Q110" i="30"/>
  <c r="L186" i="30"/>
  <c r="L45" i="30"/>
  <c r="L177" i="30"/>
  <c r="Q94" i="30"/>
  <c r="Q17" i="30"/>
  <c r="Q105" i="30"/>
  <c r="L96" i="30"/>
  <c r="L62" i="30"/>
  <c r="L110" i="30"/>
  <c r="Q186" i="30"/>
  <c r="L80" i="30"/>
  <c r="L94" i="30"/>
  <c r="L183" i="30"/>
  <c r="Q130" i="30"/>
  <c r="L27" i="30"/>
  <c r="Q68" i="30"/>
  <c r="Q27" i="30"/>
  <c r="Q65" i="30"/>
  <c r="L196" i="30"/>
  <c r="Q124" i="30"/>
  <c r="Q166" i="30"/>
  <c r="H5" i="4" l="1"/>
  <c r="H5" i="3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<sst xmlns="http://schemas.openxmlformats.org/spreadsheetml/2006/main" count="2611" uniqueCount="1633">
  <si>
    <t>NAME</t>
  </si>
  <si>
    <t>STRENGTH</t>
  </si>
  <si>
    <t>SIZE</t>
  </si>
  <si>
    <t xml:space="preserve">Facility Name </t>
  </si>
  <si>
    <t>Certification #</t>
  </si>
  <si>
    <t>State License #</t>
  </si>
  <si>
    <t>DEA License #</t>
  </si>
  <si>
    <t>QTY Needed</t>
  </si>
  <si>
    <t>ORIGINAL MANUFACTURER NDC #</t>
  </si>
  <si>
    <r>
      <t xml:space="preserve">MCSR # </t>
    </r>
    <r>
      <rPr>
        <i/>
        <sz val="10"/>
        <rFont val="Calibri"/>
        <family val="2"/>
        <scheme val="minor"/>
      </rPr>
      <t>(MA only)</t>
    </r>
  </si>
  <si>
    <t xml:space="preserve">Crash Cart Welcome Kit </t>
  </si>
  <si>
    <t>Ship to Address</t>
  </si>
  <si>
    <t xml:space="preserve">Dr.'s Full Name </t>
  </si>
  <si>
    <t xml:space="preserve">Crash Cart Auto-Replenishment Program </t>
  </si>
  <si>
    <t xml:space="preserve">*Customer confirms that they have all licenses, permits and certifications needed to purchase and dispense medications. The customer agrees to notify Healthfirst immediately of any changes to the below information, including any changes to or loss of any applicable licenses, permits and certifications . </t>
  </si>
  <si>
    <t>Customer Contact Name</t>
  </si>
  <si>
    <t>Distributor Ship to Account #</t>
  </si>
  <si>
    <t>Distributor Name (if purchasing through distributor)</t>
  </si>
  <si>
    <t>If new facility, specify opening date</t>
  </si>
  <si>
    <t>Sales Rep Name</t>
  </si>
  <si>
    <t>Sales Rep Email</t>
  </si>
  <si>
    <t>Customer Information</t>
  </si>
  <si>
    <t>Distributor, GPO and Sales Rep Information</t>
  </si>
  <si>
    <t>Crash Cart Identifier (Name, Number or Location)</t>
  </si>
  <si>
    <t>GPO Contract Number</t>
  </si>
  <si>
    <t>GPO Name</t>
  </si>
  <si>
    <t>*Crash Cart Auto-Replenishment Program includes replacement of used medications for up to two emergency event uses per cart,  per enrollment year.</t>
  </si>
  <si>
    <t>Instructions for Enrollment:</t>
  </si>
  <si>
    <t>Reference</t>
  </si>
  <si>
    <t>Parent Account #</t>
  </si>
  <si>
    <t>Customer Contact Phone #</t>
  </si>
  <si>
    <t>Customer Contact Email</t>
  </si>
  <si>
    <t>Sales Rep Phone #</t>
  </si>
  <si>
    <r>
      <t xml:space="preserve">New or Existing Facility? </t>
    </r>
    <r>
      <rPr>
        <i/>
        <sz val="10"/>
        <rFont val="Calibri"/>
        <family val="2"/>
        <scheme val="minor"/>
      </rPr>
      <t>Please specify</t>
    </r>
  </si>
  <si>
    <r>
      <t>Crash Cart Address</t>
    </r>
    <r>
      <rPr>
        <b/>
        <sz val="10"/>
        <rFont val="Calibri"/>
        <family val="2"/>
        <scheme val="minor"/>
      </rPr>
      <t xml:space="preserve"> </t>
    </r>
    <r>
      <rPr>
        <i/>
        <sz val="10"/>
        <rFont val="Calibri"/>
        <family val="2"/>
        <scheme val="minor"/>
      </rPr>
      <t>(if different than ship to)</t>
    </r>
  </si>
  <si>
    <t>Missing information may delay the order.</t>
  </si>
  <si>
    <t>Included</t>
  </si>
  <si>
    <t>Pharma return and disposal of expired/used meds</t>
  </si>
  <si>
    <t>Total Annual Price</t>
  </si>
  <si>
    <t>OnTraq Medication Replenishment Service and Status Dashboard Software</t>
  </si>
  <si>
    <t>QUICK QUOTE FORM Version 5</t>
  </si>
  <si>
    <t>https://www.healthfirst.com/store/medications/</t>
  </si>
  <si>
    <t>PRICING SUMMARY&gt;&gt;&gt;&gt;&gt;&gt;&gt;&gt;</t>
  </si>
  <si>
    <t>CCAR Quick Quote Calculator</t>
  </si>
  <si>
    <t>*Please Note: Refrigerants require special handling &amp; will be shipped in a separate box.</t>
  </si>
  <si>
    <t xml:space="preserve"> Quote and Pricing Summary </t>
  </si>
  <si>
    <t>New or Existing Facility? Please specify</t>
  </si>
  <si>
    <t>Crash Cart Address (if different than ship to)</t>
  </si>
  <si>
    <t>Point of Contact for Crash Cart (if different)</t>
  </si>
  <si>
    <t>Customer Point of Contact Email (for shipment notifications &amp; recalls)</t>
  </si>
  <si>
    <t xml:space="preserve">Customer shall review and acknowledge the accuracy of the medication formulary.  </t>
  </si>
  <si>
    <t>To place and order, complete the required customer information section below.</t>
  </si>
  <si>
    <t>Review and acknowledge Terms and Conditions, the click "submit order".</t>
  </si>
  <si>
    <t>Quote is valid for 30 days</t>
  </si>
  <si>
    <t xml:space="preserve">Annual Cost:   </t>
  </si>
  <si>
    <t>Step 1</t>
  </si>
  <si>
    <t>Step 2</t>
  </si>
  <si>
    <t>Step 3</t>
  </si>
  <si>
    <t xml:space="preserve">IF YOUR FORMULARY DOES NOT MEET THE MINIMUM, Individual Medications can be purchased online at </t>
  </si>
  <si>
    <t>Sign:</t>
  </si>
  <si>
    <t>Henry Schein</t>
  </si>
  <si>
    <t>Medline</t>
  </si>
  <si>
    <t>Dealer Customer Ship to #</t>
  </si>
  <si>
    <t>Med Price</t>
  </si>
  <si>
    <t xml:space="preserve"> </t>
  </si>
  <si>
    <t>Required Field</t>
  </si>
  <si>
    <t>I have read and agree to the terms and conditions</t>
  </si>
  <si>
    <t>medline</t>
  </si>
  <si>
    <t>HealthFirst</t>
  </si>
  <si>
    <t>healthfirst</t>
  </si>
  <si>
    <t>Sold by (Distributor Name)</t>
  </si>
  <si>
    <t>Schein</t>
  </si>
  <si>
    <t>McKesson</t>
  </si>
  <si>
    <t>Size</t>
  </si>
  <si>
    <t>Strength</t>
  </si>
  <si>
    <t>Item Number</t>
  </si>
  <si>
    <t>Price</t>
  </si>
  <si>
    <t>Item Description</t>
  </si>
  <si>
    <t>Item No.</t>
  </si>
  <si>
    <t>Status</t>
  </si>
  <si>
    <t>Pricing Tiers</t>
  </si>
  <si>
    <t>Start</t>
  </si>
  <si>
    <t>End</t>
  </si>
  <si>
    <t>McKesson Part Number:</t>
  </si>
  <si>
    <t>McKesson Item Number</t>
  </si>
  <si>
    <t>Version</t>
  </si>
  <si>
    <t>Select Medications from List Below</t>
  </si>
  <si>
    <t>Included with Initial Order</t>
  </si>
  <si>
    <t>Call for Quote</t>
  </si>
  <si>
    <t>*All distributors of controlled substances are required by the DEA under the Controlled Substances Act to “Know Our Customer." Controlled substances highlighted below require Healthfirst's Controlled Substance Form.      
Please note: Healthfirst will email a copy of the form to your customer to be completed.</t>
  </si>
  <si>
    <t>I confirm that the medication formulary has been reviewed and approved by our clinical team</t>
  </si>
  <si>
    <t>Speciality License # (MA, FL, OH States Only)</t>
  </si>
  <si>
    <t>*All distributors of controlled substances and/or List 1 chemicals are required by the DEA under the Controlled Substances Act to “Know Our Customer." Controlled substances highlighted below require Healthfirst's Controlled Substance Form.
Please note: Healthfirst will email a copy of the form to your customer to be completed.</t>
  </si>
  <si>
    <t>*All distributors of controlled substances and/or List 1 chemicals are required by the DEA under the Controlled Substances Act to “Know Our Customer." Controlled substances highlighted below require Healthfirst's Controlled Substance Form.      
Please note: Healthfirst will email a copy of the form to your customer to be completed.</t>
  </si>
  <si>
    <t>Please review your formulary carefully.  Changes to formulary will require a new quote and are subject to price changes at current market pricing.</t>
  </si>
  <si>
    <t>Crash Cart Annual Membership - Year 1</t>
  </si>
  <si>
    <t>For orders containing List 1 Chemicals or Controlled Substances:  A Know Your Customer form will be emailed to you and is required to be returned prior to shipment of any List 1 Chemical or Controlled Substance.</t>
  </si>
  <si>
    <t>1020940</t>
  </si>
  <si>
    <t>1020950</t>
  </si>
  <si>
    <t>1020960</t>
  </si>
  <si>
    <t>1020970</t>
  </si>
  <si>
    <t>1020980</t>
  </si>
  <si>
    <t>1020990</t>
  </si>
  <si>
    <t>1021000</t>
  </si>
  <si>
    <t>1021010</t>
  </si>
  <si>
    <t>1021020</t>
  </si>
  <si>
    <t>1021140</t>
  </si>
  <si>
    <t>1021040</t>
  </si>
  <si>
    <t>1021050</t>
  </si>
  <si>
    <t>1021060</t>
  </si>
  <si>
    <t>1021070</t>
  </si>
  <si>
    <t>1021080</t>
  </si>
  <si>
    <t>1021090</t>
  </si>
  <si>
    <t>1021100</t>
  </si>
  <si>
    <t>1021110</t>
  </si>
  <si>
    <t>1021120</t>
  </si>
  <si>
    <t>1021130</t>
  </si>
  <si>
    <t>Date:</t>
  </si>
  <si>
    <t>Base</t>
  </si>
  <si>
    <t>Percent of Total</t>
  </si>
  <si>
    <t>MFG NDC</t>
  </si>
  <si>
    <t>Storage Conditions</t>
  </si>
  <si>
    <t>Lethal</t>
  </si>
  <si>
    <t>Description</t>
  </si>
  <si>
    <t>Verifications Check 1</t>
  </si>
  <si>
    <t>Verifications Check 2</t>
  </si>
  <si>
    <t>McKesson Crash Cart Auto-Replenishment Program</t>
  </si>
  <si>
    <t>I understand that medications are subject to backorder and have reviewed the availability of the medication formulary with my sales representative</t>
  </si>
  <si>
    <t>By typing your name and the date, you are providing your digital signature</t>
  </si>
  <si>
    <t>Review</t>
  </si>
  <si>
    <t>Terms and Conditions</t>
  </si>
  <si>
    <t>Backorder Status</t>
  </si>
  <si>
    <t>ETA</t>
  </si>
  <si>
    <t>GLN Number</t>
  </si>
  <si>
    <t>Item</t>
  </si>
  <si>
    <t>State</t>
  </si>
  <si>
    <t>AR</t>
  </si>
  <si>
    <t>KY</t>
  </si>
  <si>
    <t>NM</t>
  </si>
  <si>
    <t>AL</t>
  </si>
  <si>
    <t>GA</t>
  </si>
  <si>
    <t>ND</t>
  </si>
  <si>
    <t>Ship</t>
  </si>
  <si>
    <t>Total</t>
  </si>
  <si>
    <t>Cold</t>
  </si>
  <si>
    <t>Lethal Rx List</t>
  </si>
  <si>
    <t>DEA Req</t>
  </si>
  <si>
    <t>Extra Dea Req for Item</t>
  </si>
  <si>
    <t>Subtotal</t>
  </si>
  <si>
    <t>Ship to Street Address (Include Suite)</t>
  </si>
  <si>
    <t>Ship to City</t>
  </si>
  <si>
    <t>Ship to Zip Code</t>
  </si>
  <si>
    <t>Ship to State (Abbreviation)</t>
  </si>
  <si>
    <t>Verifications</t>
  </si>
  <si>
    <t>-</t>
  </si>
  <si>
    <t>Submit to: ccar@healthfirst.com</t>
  </si>
  <si>
    <t>Current Cost</t>
  </si>
  <si>
    <t>Unit Cost</t>
  </si>
  <si>
    <t>Line Cost</t>
  </si>
  <si>
    <t>Total Cost:</t>
  </si>
  <si>
    <t>Margin Amount</t>
  </si>
  <si>
    <t>Margin %</t>
  </si>
  <si>
    <r>
      <t xml:space="preserve">*Healthfirst may supply an equivalent medication type which may be from an alternate manufacturer or an alternate form factor </t>
    </r>
    <r>
      <rPr>
        <i/>
        <sz val="10"/>
        <rFont val="Calibri"/>
        <family val="2"/>
        <scheme val="minor"/>
      </rPr>
      <t>(e.g.: one 10mL vial may be substituted for two 5mL vials)</t>
    </r>
    <r>
      <rPr>
        <sz val="11"/>
        <rFont val="Calibri"/>
        <family val="2"/>
        <scheme val="minor"/>
      </rPr>
      <t xml:space="preserve">. All such substitutions will be the equivalent medication formulation, volume, strength and dose                                                                                                                                                                                                                                                                                                            </t>
    </r>
  </si>
  <si>
    <r>
      <t>*</t>
    </r>
    <r>
      <rPr>
        <b/>
        <sz val="11"/>
        <rFont val="Calibri"/>
        <family val="2"/>
        <scheme val="minor"/>
      </rPr>
      <t>Please Note</t>
    </r>
    <r>
      <rPr>
        <sz val="11"/>
        <rFont val="Calibri"/>
        <family val="2"/>
        <scheme val="minor"/>
      </rPr>
      <t>: Quotes expire 30 days from original date of quote.</t>
    </r>
  </si>
  <si>
    <t>Standard Discount</t>
  </si>
  <si>
    <t>Standard</t>
  </si>
  <si>
    <t>Tiered</t>
  </si>
  <si>
    <t>Additional Discount</t>
  </si>
  <si>
    <t>Discounted Total</t>
  </si>
  <si>
    <t>Discounted Margin</t>
  </si>
  <si>
    <t>When adjusting the discount amount, make sure a % sign is always included</t>
  </si>
  <si>
    <t>Renewal Price</t>
  </si>
  <si>
    <t>Existing HealthFirst Customer Number (Use "New" for new accounts)</t>
  </si>
  <si>
    <t>Form Title: Master CCAR quote form</t>
  </si>
  <si>
    <t>Document Number: HF WI 117 F-06</t>
  </si>
  <si>
    <t>Part of a multiple facility group?</t>
  </si>
  <si>
    <t>Version 002</t>
  </si>
  <si>
    <t>Effective Date: 09/18/2025</t>
  </si>
  <si>
    <t>Below $500</t>
  </si>
  <si>
    <t xml:space="preserve">AMINOPHYLLINE INJECTION, USP 250mg (25mg/mL) 10mL VIAL                                               </t>
  </si>
  <si>
    <t xml:space="preserve">AMIODARONE HYDROCHLORIDE INJECTION 150mg/3mL (50mg/mL) VIAL                                          </t>
  </si>
  <si>
    <t xml:space="preserve">ATROPINE SULFATE INJECTION, USP 0.5mg (0.1 mg/mL) SYR                                                </t>
  </si>
  <si>
    <t xml:space="preserve">INFANT 25% DEXTROSE INJECTION, USP 2.5g (250mg/mL) ANSYR SYR                                         </t>
  </si>
  <si>
    <t xml:space="preserve">50% DEXTROSE INJECTION, USP 25grams/50mL (0.5g/mL) VIAL                                              </t>
  </si>
  <si>
    <t xml:space="preserve">50% DEXTROSE INJECTION, USP 25grams (0.5g/mL) 50mL SYR                                               </t>
  </si>
  <si>
    <t xml:space="preserve">DIGOXIN INJECTION, USP 500mcg/2mL 0.5/2mL (250mcg/mL) AMP                                            </t>
  </si>
  <si>
    <t xml:space="preserve">DIPHENHYDRAMINE HCL INJECTION, USP 50mg/mL 1mL VIAL                                                  </t>
  </si>
  <si>
    <t xml:space="preserve">DOPAMINE HCL INJ., USP 400mg (40mg/mL) 10mL VIAL                                                     </t>
  </si>
  <si>
    <t xml:space="preserve">EZ ORDER PEDI MEDICATION AND DEVICE BUNDLE                                                           </t>
  </si>
  <si>
    <t xml:space="preserve">EZ ORDER PEDI MEDICATION AND DEVICE BUNDLE W/O AUTO INJECTOR                                         </t>
  </si>
  <si>
    <t xml:space="preserve">LIDOCAINE HCL INJECTION, USP 1% 50mg/5mL SYR                                                         </t>
  </si>
  <si>
    <t xml:space="preserve">2% LIDOCAINE HCL INJECTION, USP 100mg/5mL (20mg/mL) VIAL                                             </t>
  </si>
  <si>
    <t xml:space="preserve">50% MAGNESIUM SULFATE INJECTION, USP 5grams/10mL ANSYR SYR                                           </t>
  </si>
  <si>
    <t xml:space="preserve">NALOXONE HYDROCHLORIDE INJECTION, USP 0.4mg/mL 1mL CARP                                              </t>
  </si>
  <si>
    <t xml:space="preserve">NALOXONE HCl INJECTION, USP 0.4mg/mL 1mL VIAL                                                        </t>
  </si>
  <si>
    <t xml:space="preserve">ONDANSETRON INJECTION, USP 4mg/2mL (2mg/mL) VIAL                                                     </t>
  </si>
  <si>
    <t xml:space="preserve">PROMETHAZINE HCL INJECTION, USP 25mg/mL 1mL VIAL                                                     </t>
  </si>
  <si>
    <t xml:space="preserve">PROMETHAZINE HCL INJECTION, USP 50mg/mL 1mL AMPULE                                                   </t>
  </si>
  <si>
    <t xml:space="preserve">PHENYLEPHRINE HCL INJECTION, USP 10mg/mL 1mL VIAL                                                    </t>
  </si>
  <si>
    <t xml:space="preserve">PHENYTOIN SODIUM INJ., USP 100mg/2mL (50mg/mL) VIAL                                                  </t>
  </si>
  <si>
    <t xml:space="preserve">FLUMAZENIL INJECTION, USP 1mg/10mL (0.1 mg/mL) VIAL                                                  </t>
  </si>
  <si>
    <t xml:space="preserve">FLUMAZENIL INJECTION, USP 0.5mg/5mL (0.1mg/mL) VIAL                                                  </t>
  </si>
  <si>
    <t xml:space="preserve">SODIUM BICARBONATE INJECTION USP, 8.4% 50mEq/50mL (1mEq/mL) 50mL VIAL                                </t>
  </si>
  <si>
    <t xml:space="preserve">SOLU-CORTEF® 100mg 2mL ACT-O-VIAL®                                                                   </t>
  </si>
  <si>
    <t xml:space="preserve">SOLU-CORTEF® 250mg 2mL ACT-O-VIAL®                                                                   </t>
  </si>
  <si>
    <t xml:space="preserve">SOLU-MEDROL® 125MG PER VIAL 2mL ACT-O-VIAL®                                                          </t>
  </si>
  <si>
    <t xml:space="preserve">SOLU-MEDROL® 40MG PER VIAL 1mL ACT-O-VIAL®                                                           </t>
  </si>
  <si>
    <t xml:space="preserve">STERILE WATER FOR INJECTION, USP 50mL VIAL                                                           </t>
  </si>
  <si>
    <t xml:space="preserve">STERILE WATER FOR INJECTION, USP 100mL VIAL                                                          </t>
  </si>
  <si>
    <t xml:space="preserve">VENTOLIN® HFA (ALBUTEROL SULFATE)  90mcg BOXED                                                       </t>
  </si>
  <si>
    <t xml:space="preserve">VERAPAMIL HYDROCHLORIDE INJECTION, USP 10mg (2.5 mg/mL) 4mL ANSYR SYR                                </t>
  </si>
  <si>
    <t xml:space="preserve">APAP ACETAMINOPHEN 325mg 2 TABLET (2 PACK)                                                           </t>
  </si>
  <si>
    <t xml:space="preserve">AED, ZOLL PLUS DEFIBRILLATOR                                                                         </t>
  </si>
  <si>
    <t xml:space="preserve">AED, ZOLL CPR-D PADZ ADULT                                                                           </t>
  </si>
  <si>
    <t xml:space="preserve">AED, ZOLL AED PLUS PADZ PEDI                                                                         </t>
  </si>
  <si>
    <t xml:space="preserve">AED, ZOLL SOFT CASE                                                                                  </t>
  </si>
  <si>
    <t xml:space="preserve">AED, ZOLL BATTERY TYPE 123 LITHIUM 10/PK                                                             </t>
  </si>
  <si>
    <t xml:space="preserve">AED, ZOLL MOUNTING BRACKET                                                                           </t>
  </si>
  <si>
    <t xml:space="preserve">AED, ZOLL METAL WALL CABINET ALARMED                                                                 </t>
  </si>
  <si>
    <t xml:space="preserve">AED, ZOLL METAL WALL CABINET ALARMED DS                                                              </t>
  </si>
  <si>
    <t xml:space="preserve">AED, HEARTSINE SAMARITAN® PAD 350P DEFIB                                                             </t>
  </si>
  <si>
    <t xml:space="preserve">AED, HEARTSINE PAD WALL BRACKET                                                                      </t>
  </si>
  <si>
    <t xml:space="preserve">AED, HEARTSINE PADPAK ADULT                                                                          </t>
  </si>
  <si>
    <t xml:space="preserve">AED, HEARTSINE PADPAK PEDI                                                                           </t>
  </si>
  <si>
    <t xml:space="preserve">AED, HEARTSINE REPLACEMENT CASE                                                                      </t>
  </si>
  <si>
    <t xml:space="preserve">AED, HEARTSINE EVO SOFTWARE AND DATA CABLE                                                           </t>
  </si>
  <si>
    <t xml:space="preserve">AED, HEARTSINE CABINET 11x12x7                                                                       </t>
  </si>
  <si>
    <t xml:space="preserve">NITROGLYCERIN SUBLINGUAL TABLETS, USP 0.4mg/TABLET 25TABS                                            </t>
  </si>
  <si>
    <t xml:space="preserve">AED, HEARTSINE SAMARITAN® PAD TRAINING SYSTEM                                                        </t>
  </si>
  <si>
    <t xml:space="preserve">AED, HEARTSINE TRAINER DEFIBRILLATOR PADS-SET OF 10                                                  </t>
  </si>
  <si>
    <t xml:space="preserve">AED, HEARTSINE SAMARITAN® PAD 450P DEFIB                                                             </t>
  </si>
  <si>
    <t xml:space="preserve">AMALGAM, 1.25 GAL WASTE RECOVERY CONTAINER                                                           </t>
  </si>
  <si>
    <t xml:space="preserve">AMALGAM, 3.5 GAL WASTE RECOVERY CONTAINER                                                            </t>
  </si>
  <si>
    <t xml:space="preserve">AMALGAM, 5 GAL WASTE RECOVERY CONTAINER                                                              </t>
  </si>
  <si>
    <t xml:space="preserve">AMALGAM, UNIVERSAL INSTALL KIT 1-1.5"                                                                </t>
  </si>
  <si>
    <t xml:space="preserve">AMALGAM, CATCH HG 402 SEPARATOR                                                                      </t>
  </si>
  <si>
    <t xml:space="preserve">AMALGAM, BUFFER ONLY (5001 BUFFER) RECYCLE                                                           </t>
  </si>
  <si>
    <t xml:space="preserve">AMALGAM, LC SYSTEM (3001 COLLECTOR AND 7001 BUFFER) RECYCLE                                          </t>
  </si>
  <si>
    <t xml:space="preserve">AMALGAM, REBEC ECO FUNNEL                                                                            </t>
  </si>
  <si>
    <t xml:space="preserve">AMALGAM, CATCH HG 400 SEPARATOR                                                                      </t>
  </si>
  <si>
    <t xml:space="preserve">AMALGAM, CATCH HG 400+ SEPARATOR                                                                     </t>
  </si>
  <si>
    <t xml:space="preserve">AMALGAM, HG 1000  SEPARATOR                                                                          </t>
  </si>
  <si>
    <t xml:space="preserve">AMALGAM, CATCH HG 1000+ SEPARATOR                                                                    </t>
  </si>
  <si>
    <t xml:space="preserve">AMALGAM, CATCH HG 1000 + LC SEPARATOR                                                                </t>
  </si>
  <si>
    <t xml:space="preserve">AMALGAM, STANDARD (3001 COLLECTOR) RECYCLE                                                           </t>
  </si>
  <si>
    <t xml:space="preserve">BAG, INNER CLEAR 10x6x20                                                                             </t>
  </si>
  <si>
    <t xml:space="preserve">BAG, OUTER CLEAR 12x10x24                                                                            </t>
  </si>
  <si>
    <t xml:space="preserve">BAG, CLEAR  5x3x15                                                                                   </t>
  </si>
  <si>
    <t xml:space="preserve">BAG, INNER CLEAR 10x8x20                                                                             </t>
  </si>
  <si>
    <t xml:space="preserve">BAG, INNER CLEAR 18x14x36                                                                            </t>
  </si>
  <si>
    <t xml:space="preserve">MANIFEST, SHARPS MANAGEMENT                                                                          </t>
  </si>
  <si>
    <t xml:space="preserve">POUCH, ZIPLOCK SLEEVE                                                                                </t>
  </si>
  <si>
    <t xml:space="preserve">BAG, INNER CLEAR (16x14x36)                                                                          </t>
  </si>
  <si>
    <t xml:space="preserve">LEAD FOIL RECOVERY                                                                                   </t>
  </si>
  <si>
    <t xml:space="preserve">LEAD APRON RECOVERY                                                                                  </t>
  </si>
  <si>
    <t xml:space="preserve">INSTRUCTIONS, 1 QT - 3 GAL SHARPS                                                                    </t>
  </si>
  <si>
    <t xml:space="preserve">LABEL, GUIDELINES AMALGAM GALLON BUCKET WASTE RECOVERY                                               </t>
  </si>
  <si>
    <t xml:space="preserve">LABEL, PRODUCT AMALGAM GALLON BUCKET WASTE RECOVERY                                                  </t>
  </si>
  <si>
    <t xml:space="preserve">LABEL, DO NOT DESTROY                                                                                </t>
  </si>
  <si>
    <t xml:space="preserve">ACLS POCKET GUIDE                                                                                    </t>
  </si>
  <si>
    <t xml:space="preserve">2025 AHA ACLS POCKET GUIDE                                                                           </t>
  </si>
  <si>
    <t xml:space="preserve">BOX, RETURN 1 GAL SHARPS MANAGEMENT                                                                  </t>
  </si>
  <si>
    <t xml:space="preserve">BOX, INNER RETURN 1 GAL SHARPS MANAGEMENT                                                            </t>
  </si>
  <si>
    <t xml:space="preserve">LABEL, TRAQIT 1 GAL SHARPS MANAGEMENT                                                                </t>
  </si>
  <si>
    <t xml:space="preserve">BOX, OUTER 1 QT 1PK SHARPS MANAGEMENT (4 7/8" x 4 9/16" x 7 3/4")                                    </t>
  </si>
  <si>
    <t xml:space="preserve">BOX, INNER 1 QT 1PK SHARPS MANAGEMENT (4 1/2" x 4 3/16" x 6 3/4")                                    </t>
  </si>
  <si>
    <t xml:space="preserve">LABEL, TRAQIT 1 QT SHARPS MANAGEMENT                                                                 </t>
  </si>
  <si>
    <t xml:space="preserve">BOX, OUTER 5 QT 1PK SHARPS MANAGEMENT (11 3/8" x 5 1/8" x 14")                                       </t>
  </si>
  <si>
    <t xml:space="preserve">BOX, INNER RETURN 3.5 GAL AMALGAM WASTE RECOVERY (14" x 14" x 14")                                   </t>
  </si>
  <si>
    <t xml:space="preserve">BOX, OUTER RETURN 5 GAL AMALGAM WASTE RECOVERY (20" x 15" x 15")                                     </t>
  </si>
  <si>
    <t xml:space="preserve">BOX, INNER RETURN 5 GAL AMALGAM WASTE RECOVERY (18" x 14" x 14")                                     </t>
  </si>
  <si>
    <t xml:space="preserve">LABEL, TRAQIT 5 GAL AMALGAM WASTE RECOVERY                                                           </t>
  </si>
  <si>
    <t xml:space="preserve">TAPE, HYPOALLERGENIC PAPER                                                                           </t>
  </si>
  <si>
    <t xml:space="preserve">FOAM, EVA 2# BLACK 1/4"                                                                              </t>
  </si>
  <si>
    <t xml:space="preserve">FOAM, CRITI-KIT W/OVERLAY                                                                            </t>
  </si>
  <si>
    <t xml:space="preserve">FOAM, 750 STATKIT W/OVERLAY                                                                          </t>
  </si>
  <si>
    <t xml:space="preserve">CASE, SOFT BLACK                                                                                     </t>
  </si>
  <si>
    <t xml:space="preserve">ZIP TIE                                                                                              </t>
  </si>
  <si>
    <t xml:space="preserve">KICK STAND, BLACK FOR Z-1000/ACLS                                                                    </t>
  </si>
  <si>
    <t xml:space="preserve">SAFETY GLASSES, CLEAR, LARGE                                                                         </t>
  </si>
  <si>
    <t xml:space="preserve">VELCRO AED STRAP, Z-1000 1" X 27"                                                                    </t>
  </si>
  <si>
    <t xml:space="preserve">TRAY, AAA PLASTIC                                                                                    </t>
  </si>
  <si>
    <t xml:space="preserve">TRAY, MISC PLASTIC                                                                                   </t>
  </si>
  <si>
    <t xml:space="preserve">TRAY, CARIDIAC PLASTIC                                                                               </t>
  </si>
  <si>
    <t xml:space="preserve">HOOK, 1" FLAT FOR AED STRAP                                                                          </t>
  </si>
  <si>
    <t xml:space="preserve">KICK STAND, RUBBER LEG TIP 5/8"                                                                      </t>
  </si>
  <si>
    <t xml:space="preserve">AMALGAM, VACUBLU LINE CLEANER, 64 OZ.                                                                </t>
  </si>
  <si>
    <t xml:space="preserve">SPONGE, GAUZE 3x3, 2/PK                                                                              </t>
  </si>
  <si>
    <t xml:space="preserve">CATHETER, IV SAFETY 20G x 1"                                                                         </t>
  </si>
  <si>
    <t xml:space="preserve">CATHETER. IV SAFETY 22G x 1"                                                                         </t>
  </si>
  <si>
    <t xml:space="preserve">TUBING, IV 15 DROP 84" PRE-PIERCED Y-SITE W/CLAVE                                                    </t>
  </si>
  <si>
    <t xml:space="preserve">TUBING, IV 15 DROP 79"                                                                               </t>
  </si>
  <si>
    <t xml:space="preserve">BUTTERFLY, INFUSION SET 12" TUBING 25G X 3/4"                                                        </t>
  </si>
  <si>
    <t xml:space="preserve">BUTTERFLY, INFUSION SET 12" TUBING 23G X 3/4"                                                        </t>
  </si>
  <si>
    <t xml:space="preserve">IV STARTER KIT W/GLOVES                                                                              </t>
  </si>
  <si>
    <t xml:space="preserve">STAT KIT SM27 EMERGENCY MEDICAL KIT                                                                  </t>
  </si>
  <si>
    <t xml:space="preserve">STAT KIT SM7 EMERGENCY MEDICAL KIT                                                                   </t>
  </si>
  <si>
    <t xml:space="preserve">STAT KIT SM10  EMERGENCY MEDICAL KIT                                                                 </t>
  </si>
  <si>
    <t xml:space="preserve">STAT KIT SM30 EMERGENCY MEDICAL KIT                                                                  </t>
  </si>
  <si>
    <t xml:space="preserve">INSTADOSE ONLINE XRAY DOSIMETER BLUE                                                                 </t>
  </si>
  <si>
    <t xml:space="preserve">INSTADOSE ONLINE XRAY DOSIMETER PINK                                                                 </t>
  </si>
  <si>
    <t xml:space="preserve">CRITI-KIT 200 EMERGENCY MEDICAL KIT                                                                  </t>
  </si>
  <si>
    <t xml:space="preserve">STAT KIT®  Z-1000 EMERGENCY MEDICAL KIT                                                              </t>
  </si>
  <si>
    <t xml:space="preserve">CO2 DETECTOR ADULT                                                                                   </t>
  </si>
  <si>
    <t xml:space="preserve">BIOLOGICAL, BIO12 HEALTHFIRST MAIL IN MONITORING SYSTEM, 12 TESTS                                    </t>
  </si>
  <si>
    <t xml:space="preserve">BIOLOGICAL, BIO52 HEALTHFIRST MAIL IN MONITORING SYSTEM, 52 TESTS                                    </t>
  </si>
  <si>
    <t xml:space="preserve">BIOLOGICAL, CONFIRM IN OFFICE MONITORING SYSTEM, 10HR                                                </t>
  </si>
  <si>
    <t xml:space="preserve">PULSE OXIMETER, FINGER, ADULT                                                                        </t>
  </si>
  <si>
    <t xml:space="preserve">SPHYGMOMANOMETER, ADULT WITH VELCRO CUFF                                                             </t>
  </si>
  <si>
    <t xml:space="preserve">SPHYGMOMANOMETER, LARGE ADULT CUFF                                                                   </t>
  </si>
  <si>
    <t xml:space="preserve">INSTRUMENT PACKAGE                                                                                   </t>
  </si>
  <si>
    <t xml:space="preserve">LARYNGOSCOPE, HANDLE                                                                                 </t>
  </si>
  <si>
    <t xml:space="preserve">BATTERY, C CELL                                                                                      </t>
  </si>
  <si>
    <t xml:space="preserve">SEAL, PLASTIC PADLOCK, RED                                                                           </t>
  </si>
  <si>
    <t xml:space="preserve">SEAL, PLASTIC PADLOCK, YELLOW                                                                        </t>
  </si>
  <si>
    <t xml:space="preserve">SEAL, PLASTIC PADLOCK, GREEN                                                                         </t>
  </si>
  <si>
    <t xml:space="preserve">AIRWAY, LARYNGEAL MASK (LMA), SIZE 5                                                                 </t>
  </si>
  <si>
    <t xml:space="preserve">STETHOSCOPE, SINGLE HEAD                                                                             </t>
  </si>
  <si>
    <t xml:space="preserve">TOURNIQUET, LATEX FREE                                                                               </t>
  </si>
  <si>
    <t xml:space="preserve">HYDROCORTISONE 1% CREAM (2 PACK)                                                                     </t>
  </si>
  <si>
    <t xml:space="preserve">TRIPLE ANTIBIOTIC (2 PACK)                                                                           </t>
  </si>
  <si>
    <t xml:space="preserve">RESUSCITATOR, BVM AMBU ADULT                                                                         </t>
  </si>
  <si>
    <t xml:space="preserve">RESUSCITATOR, BVM AMBU PEDI                                                                          </t>
  </si>
  <si>
    <t xml:space="preserve">AIRWAY, LARYNGEAL MASK (LMA), SIZE 3                                                                 </t>
  </si>
  <si>
    <t xml:space="preserve">AIRWAY, LARYNGEAL MASK (LMA), SIZE 4                                                                 </t>
  </si>
  <si>
    <t xml:space="preserve">FORCEPS, MAGILL 10"                                                                                  </t>
  </si>
  <si>
    <t xml:space="preserve">YANKAUER FLANGE SUCTION TIP                                                                          </t>
  </si>
  <si>
    <t xml:space="preserve">RESUSCITATOR, MASK AMBU SIZE 3 TODDLER                                                               </t>
  </si>
  <si>
    <t xml:space="preserve">SUCTION, AMBU RESCUE PUMP HANDHELD MANUAL                                                            </t>
  </si>
  <si>
    <t xml:space="preserve">ENDOTUBE, 7mm CUFFED W/STYLET                                                                        </t>
  </si>
  <si>
    <t xml:space="preserve">ENDOTUBE, 5mm CUFFED W/STYLET                                                                        </t>
  </si>
  <si>
    <t xml:space="preserve">ENDOTUBE, 3mm UNCUFFED W/STYLET                                                                      </t>
  </si>
  <si>
    <t xml:space="preserve">SCALPEL, DISPOSABLE                                                                                  </t>
  </si>
  <si>
    <t xml:space="preserve">LARYNGOSCOPE, MAC4  BLADE                                                                            </t>
  </si>
  <si>
    <t xml:space="preserve">LARYNGOSCOPE, MAC2 BLADE                                                                             </t>
  </si>
  <si>
    <t xml:space="preserve">SUTURE, VICRYL 2-0                                                                                   </t>
  </si>
  <si>
    <t xml:space="preserve">SUTURE, PROLENE 4-0                                                                                  </t>
  </si>
  <si>
    <t xml:space="preserve">SPONGE, ALCOHOL                                                                                      </t>
  </si>
  <si>
    <t xml:space="preserve">MASK, ADULT MASK W/STRAP AND NON-REBREATHER                                                          </t>
  </si>
  <si>
    <t xml:space="preserve">GAUZE, 3" ROLL BANDAGE                                                                               </t>
  </si>
  <si>
    <t xml:space="preserve">AIRWAY, NASOPHARYNGEAL 34FR                                                                          </t>
  </si>
  <si>
    <t xml:space="preserve">AIRWAY, NASOPHARYNGEAL 32FR                                                                          </t>
  </si>
  <si>
    <t xml:space="preserve">AIRWAY, NASOPHARYNGEAL 30FR                                                                          </t>
  </si>
  <si>
    <t xml:space="preserve">AIRWAY, NASOPHARYNGEAL 28FR                                                                          </t>
  </si>
  <si>
    <t xml:space="preserve">AIRWAY, NASOPHARYNGEAL 26FR                                                                          </t>
  </si>
  <si>
    <t xml:space="preserve">RESUSCITATOR, MASK AMBU SIZE 5 ADULT                                                                 </t>
  </si>
  <si>
    <t xml:space="preserve">RESUSCITATOR, MASK AMBU SIZE 4 ADULT SMALL                                                           </t>
  </si>
  <si>
    <t xml:space="preserve">THERMOMETER, SINGLE USE DISPOSABLE                                                                   </t>
  </si>
  <si>
    <t xml:space="preserve">ENDOTUBE, 7mm CUFFED                                                                                 </t>
  </si>
  <si>
    <t xml:space="preserve">GAUZE, STERILE PADS 4x4                                                                              </t>
  </si>
  <si>
    <t xml:space="preserve">LARYNGOSCOPE, MAC3 BLADE                                                                             </t>
  </si>
  <si>
    <t xml:space="preserve">RESUSCITATOR, MASK AMBU SIZE 2 INFANT                                                                </t>
  </si>
  <si>
    <t xml:space="preserve">HEADLAMP                                                                                             </t>
  </si>
  <si>
    <t xml:space="preserve">SHEARS, 5 1/2"                                                                                       </t>
  </si>
  <si>
    <t xml:space="preserve">COMPRESSION BANDAGE 3" X 5 YDS                                                                       </t>
  </si>
  <si>
    <t xml:space="preserve">EMERGENCY BLANKET 52 X 84                                                                            </t>
  </si>
  <si>
    <t xml:space="preserve">COLD PAK, EACH                                                                                       </t>
  </si>
  <si>
    <t xml:space="preserve">FIRST AID HANDBOOK                                                                                   </t>
  </si>
  <si>
    <t xml:space="preserve">CURITY GAUZE STER 5'S 12PLY 4" X 4"                                                                  </t>
  </si>
  <si>
    <t xml:space="preserve">COBAN SELF-ADHERANT WRAP TAN 3" X 5yd                                                                </t>
  </si>
  <si>
    <t xml:space="preserve">FLIPEASE EYE SHIELDS DISPOSABLE                                                                      </t>
  </si>
  <si>
    <t xml:space="preserve">SYRINGE, 10cc 21G x 1 1/2", VANISHPOINT                                                              </t>
  </si>
  <si>
    <t xml:space="preserve">SYRINGE, 10cc 20G x 1 1/2", VANISHPOINT                                                              </t>
  </si>
  <si>
    <t xml:space="preserve">SYRINGE, 3cc 21G x 1 1/2", VANISHPOINT                                                               </t>
  </si>
  <si>
    <t xml:space="preserve">SYRINGE, 3cc 20G x 1 1/2", VANISHPOINT                                                               </t>
  </si>
  <si>
    <t xml:space="preserve">SYRINGE, 30mL LUER LOCK W/O NEEDLE                                                                   </t>
  </si>
  <si>
    <t xml:space="preserve">NEEDLE, 20G x 1 1/2"                                                                                 </t>
  </si>
  <si>
    <t xml:space="preserve">NEEDLE, 18G x 1 1/2"                                                                                 </t>
  </si>
  <si>
    <t xml:space="preserve">NEEDLE, 25G x 5/8"                                                                                   </t>
  </si>
  <si>
    <t xml:space="preserve">SYRINGE, 3cc 25G x 5/8", VANISHPOINT                                                                 </t>
  </si>
  <si>
    <t xml:space="preserve">SYRINGE, 3cc 22G x 1", VANISHPOINT                                                                   </t>
  </si>
  <si>
    <t xml:space="preserve">SYRINGE, BD  1cc                                                                                     </t>
  </si>
  <si>
    <t xml:space="preserve">OXYGEN, E CADDY                                                                                      </t>
  </si>
  <si>
    <t xml:space="preserve">OXYGEN, E CADDY W/BRACKET FOR SM KIT                                                                 </t>
  </si>
  <si>
    <t xml:space="preserve">OXYGEN, COMPLETE STANDARD SYSTEM                                                                     </t>
  </si>
  <si>
    <t xml:space="preserve">OXYGEN, SUPPLY LINE W/MASK MEDIUM CONCENTRATION                                                      </t>
  </si>
  <si>
    <t xml:space="preserve">OXYGEN, SUPPLY TUBING                                                                                </t>
  </si>
  <si>
    <t xml:space="preserve">OXYGEN, SUPPLY LINE W/NASAL CANNULA                                                                  </t>
  </si>
  <si>
    <t xml:space="preserve">MASK, PEDI  MASK W/STRAP AND NON-REBREATHER                                                          </t>
  </si>
  <si>
    <t xml:space="preserve">OXYGEN, REGULATOR W/O POSITIVE PRESSURE                                                              </t>
  </si>
  <si>
    <t xml:space="preserve">OXYGEN, E CYLINDER                                                                                   </t>
  </si>
  <si>
    <t xml:space="preserve">OXYGEN, FACE MASK ADULT                                                                              </t>
  </si>
  <si>
    <t xml:space="preserve">OXYGEN, FACE MASK CHILD                                                                              </t>
  </si>
  <si>
    <t xml:space="preserve">OXYGEN, NASAL CANNULA                                                                                </t>
  </si>
  <si>
    <t xml:space="preserve">DSCSA COMPLIANCE                                                                                     </t>
  </si>
  <si>
    <t xml:space="preserve">HM AUTOMATIC REFILL SHIPMENT                                                                         </t>
  </si>
  <si>
    <t xml:space="preserve">SHARPS, 1 QT WIRE BRACKET                                                                            </t>
  </si>
  <si>
    <t xml:space="preserve">SHARPS, 5 QT WIRE BRACKET                                                                            </t>
  </si>
  <si>
    <t xml:space="preserve">SHARPS, 2 GAL WIRE BRACKET                                                                           </t>
  </si>
  <si>
    <t xml:space="preserve">SHARPS, 3 GAL WIRE BRACKET                                                                           </t>
  </si>
  <si>
    <t xml:space="preserve">SHARPS, 5 QT LOCKABLE ENCLOSURE                                                                      </t>
  </si>
  <si>
    <t xml:space="preserve">SHARPS, 5 QT TABLE TOP HOLDER                                                                        </t>
  </si>
  <si>
    <t xml:space="preserve">SHARPS, 1 GAL SHARPS MANAGEMENT                                                                      </t>
  </si>
  <si>
    <t xml:space="preserve">SHARPS, 1 GAL 3PK SHARPS MANAGEMENT                                                                  </t>
  </si>
  <si>
    <t xml:space="preserve">SHARPS, 5 QUART 3 PACK                                                                               </t>
  </si>
  <si>
    <t xml:space="preserve">SHARPS, 5 QUART 6 PACK                                                                               </t>
  </si>
  <si>
    <t xml:space="preserve">SHARPS, 2 GAL SHARPS MANAGEMENT                                                                      </t>
  </si>
  <si>
    <t xml:space="preserve">SHARPS, 2 GAL 2PK SHARPS MANAGEMENT                                                                  </t>
  </si>
  <si>
    <t xml:space="preserve">SHARPS, 18 GAL SHARPS MANAGEMENT                                                                     </t>
  </si>
  <si>
    <t xml:space="preserve">SHARPS, 1 QUART                                                                                      </t>
  </si>
  <si>
    <t xml:space="preserve">SHARPS, 5 QUART                                                                                      </t>
  </si>
  <si>
    <t xml:space="preserve">SHARPS, 3 GAL SHARPS MANAGEMENT                                                                      </t>
  </si>
  <si>
    <t xml:space="preserve">SHARPS, 8 GALLON                                                                                     </t>
  </si>
  <si>
    <t xml:space="preserve">SHARPS, 3 GALLON MEDICAL WASTE MANAGEMENT (USPS)                                                     </t>
  </si>
  <si>
    <t xml:space="preserve">SHARPS, 8 GALLON MEDICAL WASTE MANAGEMENT (USPS)                                                     </t>
  </si>
  <si>
    <t xml:space="preserve">SHARPS, 18 GALLON MEDICAL WASTE MANAGEMENT (USPS)                                                    </t>
  </si>
  <si>
    <t xml:space="preserve">SHARPS, BOX. REPLACEMENT RETURN 1 GAL SHARPS MANAGEMENT                                              </t>
  </si>
  <si>
    <t xml:space="preserve">SHARPS, BOX. REPLACEMENT RETURN 1 GAL 3PK SHARPS MANAGEMENT                                          </t>
  </si>
  <si>
    <t xml:space="preserve">SHARPS, BOX. REPLACEMENT RETURN 5 QT 3PK SHARPS MANAGEMENT                                           </t>
  </si>
  <si>
    <t xml:space="preserve">SHARPS, BOX. REPLACEMENT RETURN 5 QT 6PK SHARPS MANAGEMENT                                           </t>
  </si>
  <si>
    <t xml:space="preserve">SHARPS, BOX. REPLACEMENT RETURN 2 GAL SHARPS MANAGEMENT                                              </t>
  </si>
  <si>
    <t xml:space="preserve">SHARPS, BOX. REPLACEMENT RETURN 2 GAL 2PK MANAGEMENT                                                 </t>
  </si>
  <si>
    <t xml:space="preserve">SHARPS, BOX. REPLACEMENT RETURN 18 GAL SHARPS MANAGEMENT                                             </t>
  </si>
  <si>
    <t xml:space="preserve">SHARPS, BOX. REPLACEMENT RETURN 1 QT SHARPS MANAGEMENT                                               </t>
  </si>
  <si>
    <t xml:space="preserve">SHARPS, BOX. REPLACEMENT RETURN 5 QT SHARPS MANAGEMENT                                               </t>
  </si>
  <si>
    <t xml:space="preserve">SHARPS, BOX. REPLACEMENT RETURN 3 GAL SHARPS MANAGEMENT                                              </t>
  </si>
  <si>
    <t xml:space="preserve">SHARPS, BOX. REPLACEMENT RETURN 8 GAL SHARPS MANAGEMENT                                              </t>
  </si>
  <si>
    <t xml:space="preserve">SHARPS, BOX. REPLACEMENT RETURN 3 GAL MEDICAL WASTE MANAGEMENT                                       </t>
  </si>
  <si>
    <t xml:space="preserve">SHARPS, BOX. REPLACEMENT RETURN 8 GAL MEDICAL WASTE MANAGEMENT                                       </t>
  </si>
  <si>
    <t xml:space="preserve">SHARPS, BOX. REPLACEMENT RETURN 18 GAL MEDICAL WASTE MANAGEMENT                                      </t>
  </si>
  <si>
    <t xml:space="preserve">AMALGAM, BOX. REPLACEMENT RETURN 5 GAL AMALGAM WASTE RECOVERY                                        </t>
  </si>
  <si>
    <t xml:space="preserve">SHIPPING SUPPLY, REFILL TRAY SM                                                                      </t>
  </si>
  <si>
    <t xml:space="preserve">TRAINING, ONLINE BLOODBORNE PATHOGENS                                                                </t>
  </si>
  <si>
    <t xml:space="preserve">TRAINING, DR DON ONSITE TRAINING HOURLY RATE                                                         </t>
  </si>
  <si>
    <t xml:space="preserve">RENEWAL, INSTADOSE ANNUAL SUBSCRIPTION                                                               </t>
  </si>
  <si>
    <t xml:space="preserve">TRAINING, ONLINE SM SERIES EMERGENCY MEDICAL KIT TRAINING                                            </t>
  </si>
  <si>
    <t xml:space="preserve">ENVELOPE, RECOVERY UNUSED MEDICATIONS                                                                </t>
  </si>
  <si>
    <t xml:space="preserve">CPR SHIELD WITH ONE WAY VALVE                                                                        </t>
  </si>
  <si>
    <t xml:space="preserve">METOCLOPRAMIDE INJECTION, USP 10mg/2mL (5mg/mL)  2mL VIAL                                            </t>
  </si>
  <si>
    <t xml:space="preserve">CONTAINER, 1 GAL SHARPS                                                                              </t>
  </si>
  <si>
    <t xml:space="preserve">CONTAINER, 2 GAL SHARPS                                                                              </t>
  </si>
  <si>
    <t xml:space="preserve">STAT KIT 750 EMERGENCY MEDICAL KIT                                                                   </t>
  </si>
  <si>
    <t xml:space="preserve">STAT KIT 750-AI EMERGENCY MEDICAL KIT                                                                </t>
  </si>
  <si>
    <t xml:space="preserve">STAT KIT 550  EMERGENCY MEDICAL KIT                                                                  </t>
  </si>
  <si>
    <t xml:space="preserve">INSTADOSE ONLINE XRAY DOSIMETER GREEN                                                                </t>
  </si>
  <si>
    <t xml:space="preserve">INSTADOSE ONLINE XRAY DOSIMETER BLACK                                                                </t>
  </si>
  <si>
    <t xml:space="preserve">INSTADOSE ONLINE XRAY DOSIMETER SILVER                                                               </t>
  </si>
  <si>
    <t xml:space="preserve">AIRLINE, SYRINGE, INSULIN, 1CC WITH NEEDLE, SAFETY GLIDE                                             </t>
  </si>
  <si>
    <t xml:space="preserve">TRAQIT LABEL, LEAD APRON RECOVERY                                                                    </t>
  </si>
  <si>
    <t xml:space="preserve">MISCELLANEOUS ITEMS -AR                                                                              </t>
  </si>
  <si>
    <t xml:space="preserve">ATROPINE SULFATE INJECTION, USP 1mg (0.1mg/mL) 10mL ANSYR SYR                                        </t>
  </si>
  <si>
    <t xml:space="preserve">ADRENALIN® (EPINEPHRINE INJECTION, USP) 1mg/mL 1:1000 VIAL                                           </t>
  </si>
  <si>
    <t xml:space="preserve">DOPAMINE HCL INJ., USP 200mg (40 mg/mL) 5mL VIAL                                                     </t>
  </si>
  <si>
    <t xml:space="preserve">SM ORGANIZER                                                                                         </t>
  </si>
  <si>
    <t xml:space="preserve">BIOLOGICAL, CONFIRM 10 INCUBATOR                                                                     </t>
  </si>
  <si>
    <t xml:space="preserve">AED, HEARTSINE SAMARITAN ® PAD 450P DEFIB                                                            </t>
  </si>
  <si>
    <t xml:space="preserve">KETOROLAC TROMETHAMINE INJ., USP 30mg/mL 1mL VIAL                                                    </t>
  </si>
  <si>
    <t xml:space="preserve">KETOROLAC TROMETHAMINE INJ., USP 60mg/2mL (30mg/mL) 2mL VIAL                                         </t>
  </si>
  <si>
    <t xml:space="preserve">AED, DS, HEARTSINE SAMARITAN® PAD 350P DEFIB                                                         </t>
  </si>
  <si>
    <t xml:space="preserve">SM27 QUARTERLY MEMBERSHIP                                                                            </t>
  </si>
  <si>
    <t xml:space="preserve">STAT KIT SM27 EMERGENCY MEDICAL KIT QUARTERLY MEMBERSHIP                                             </t>
  </si>
  <si>
    <t xml:space="preserve">SM7 QUARTERLY MEMBERSHIP                                                                             </t>
  </si>
  <si>
    <t xml:space="preserve">STAT KIT SM7 EMERGENCY MEDICAL KIT QUARTERLY MEMBERSHIP                                              </t>
  </si>
  <si>
    <t xml:space="preserve">SM7 ANNUAL MEMBERSHIP                                                                                </t>
  </si>
  <si>
    <t xml:space="preserve">STAT KIT SM7 EMERGENCY MEDICAL KIT ANNUAL MEMBERSHIP                                                 </t>
  </si>
  <si>
    <t xml:space="preserve">SM10 QUARTERLY MEMBERSHIP                                                                            </t>
  </si>
  <si>
    <t xml:space="preserve">STAT KIT SM10 EMERGENCY MEDICAL KIT QUARTERLY MEMBERSHIP                                             </t>
  </si>
  <si>
    <t xml:space="preserve">SM10 ANNUAL MEMBERSHIP                                                                               </t>
  </si>
  <si>
    <t xml:space="preserve">STAT KIT SM10 EMERGENCY MEDICAL KIT ANNUAL MEMBERSHIP                                                </t>
  </si>
  <si>
    <t xml:space="preserve">SM27 ANNUAL MEMBERSHIP                                                                               </t>
  </si>
  <si>
    <t xml:space="preserve">STAT KIT SM27 EMERGENCY MEDICAL KIT ANNUAL MEMBERSHIP                                                </t>
  </si>
  <si>
    <t xml:space="preserve">SM30 QUARTERLY MEMBERSHIP                                                                            </t>
  </si>
  <si>
    <t xml:space="preserve">STAT KIT SM30 EMERGENCY MEDICAL KIT QUARTERLY MEMBERSHIP                                             </t>
  </si>
  <si>
    <t xml:space="preserve">SM30 ANNUAL MEMBERSHIP                                                                               </t>
  </si>
  <si>
    <t xml:space="preserve">STAT KIT SM30 EMERGENCY MEDICAL KIT ANNUAL MEMBERSHIP                                                </t>
  </si>
  <si>
    <t xml:space="preserve">SM-Z ADULT EMERGENCY MEDICAL KIT QUARTERLY MEMBERSHIP                                                </t>
  </si>
  <si>
    <t xml:space="preserve">SM-Z ADULT EMERGENCY MEDICAL KIT ANNUAL MEMBERSHIP                                                   </t>
  </si>
  <si>
    <t xml:space="preserve">MOBILE ACLS EMERGENCY MEDICAL KIT QUARTERLY MEMBERSHIP                                               </t>
  </si>
  <si>
    <t xml:space="preserve">MOBILE ACLS V2 EMERGENCY MEDICAL KIT QUARTERLY MEMBERSHIP                                            </t>
  </si>
  <si>
    <t xml:space="preserve">MOBILE ACLS EMERGENCY MEDICAL KIT ANNUAL MEMBERSHIP                                                  </t>
  </si>
  <si>
    <t xml:space="preserve">MOBILE ACLS V2 EMERGENCY MEDICAL KIT ANNUAL MEMBERSHIP                                               </t>
  </si>
  <si>
    <t xml:space="preserve">LIDOCAINE HCL AND 5% DEXTROSE INJECTION USP 2g (4mg/mL) 500mL BAG                                    </t>
  </si>
  <si>
    <t xml:space="preserve">MOBILE ACLS V2 EMERGENCY MEDICAL KIT (MEMBERSHIP)                                                    </t>
  </si>
  <si>
    <t xml:space="preserve">SM-Z EMERGENCY MEDICAL KIT (MEMBERSHIP)                                                              </t>
  </si>
  <si>
    <t xml:space="preserve">SM30 EMERGENCY MEDICAL KIT (MEMBERSHIP)                                                              </t>
  </si>
  <si>
    <t xml:space="preserve">STAT KIT SM30 EMERGENCY MEDICAL KIT (MEMBERSHIP)                                                     </t>
  </si>
  <si>
    <t xml:space="preserve">SM27 EMERGENCY MEDICAL KIT - ADULT AND PEDI (MEMBERSHIP)                                             </t>
  </si>
  <si>
    <t xml:space="preserve">STAT KIT SM27 EMERGENCY MEDICAL KIT (MEMBERSHIP)                                                     </t>
  </si>
  <si>
    <t xml:space="preserve">SM10 EMERGENCY MEDICAL KIT (MEMBERSHIP)                                                              </t>
  </si>
  <si>
    <t xml:space="preserve">STAT KIT SM10 EMERGENCY MEDICAL KIT (MEMBERSHIP)                                                     </t>
  </si>
  <si>
    <t xml:space="preserve">SM7 EMERGENCY MEDICAL KIT - ADULT (MEMBERSHIP)                                                       </t>
  </si>
  <si>
    <t xml:space="preserve">STAT KIT SM7 EMERGENCY MEDICAL KIT  (MEMBERSHIP)                                                     </t>
  </si>
  <si>
    <t xml:space="preserve">CCAR QUARTERLY MEMBERSHIP                                                                            </t>
  </si>
  <si>
    <t xml:space="preserve">CCAR ANNUAL MEMBERSHIP RENEWAL                                                                       </t>
  </si>
  <si>
    <t xml:space="preserve">DS, HEARTSINE SAMARITAN PAD 350P FOR AVIATION                                                        </t>
  </si>
  <si>
    <t xml:space="preserve">MISCELLANEOUS ITEMS- AP                                                                              </t>
  </si>
  <si>
    <t xml:space="preserve">CCAR WELCOME KIT                                                                                     </t>
  </si>
  <si>
    <t xml:space="preserve">0.9% SODIUM CHLORIDE INJECTION USP ZR™ 10mL SYR                                                      </t>
  </si>
  <si>
    <t xml:space="preserve">4.2% SODIUM BICARBONATE INJECTION, USP 5mEq/10mL (0.5 mEq/mL) 10mL SYR                               </t>
  </si>
  <si>
    <t xml:space="preserve">SM-Z EMERGENCY MEDICAL KIT W/ NITRO TABS QUARTERLY MEMBERSHIP                                        </t>
  </si>
  <si>
    <t xml:space="preserve">SM-Z EMERGENCY MEDICAL KIT W/ NITRO TABS ANNUAL MEMBERSHIP                                           </t>
  </si>
  <si>
    <t xml:space="preserve">SM-Z EMERGENCY MEDICAL KIT QUARTERLY MEMBERSHIP                                                      </t>
  </si>
  <si>
    <t xml:space="preserve">SM-Z EMERGENCY MEDICAL KIT ANNUAL MEMBERSHIP                                                         </t>
  </si>
  <si>
    <t xml:space="preserve">STAT KIT 550 EMERGENCY MEDICAL KIT QUARTERLY MEMBERSHIP                                              </t>
  </si>
  <si>
    <t xml:space="preserve">STAT KIT 550 EMERGENCY MEDICAL KIT ANNUAL MEMBERSHIP                                                 </t>
  </si>
  <si>
    <t xml:space="preserve">STAT KIT 650 EMERGENCY MEDICAL KIT QUARTERLY MEMBERSHIP                                              </t>
  </si>
  <si>
    <t xml:space="preserve">STAT KIT 650 EMERGENCY MEDICAL KIT ANNUAL MEMBERSHIP                                                 </t>
  </si>
  <si>
    <t xml:space="preserve">STAT KIT 750 EMERGENCY MEDICAL KIT QUARTERLY MEMBERSHIP                                              </t>
  </si>
  <si>
    <t xml:space="preserve">STAT KIT 750 EMERGENCY MEDICAL KIT ANNUAL MEMBERSHIP                                                 </t>
  </si>
  <si>
    <t xml:space="preserve">STAT KIT 750 EMERGENCY MEDICAL KIT  ANNUAL MEMBERSHIP                                                </t>
  </si>
  <si>
    <t xml:space="preserve">STAT KIT 750-R EMERGENCY MEDICAL KIT QUARTERLY MEMBERSHIP                                            </t>
  </si>
  <si>
    <t xml:space="preserve">STAT KIT 750-R EMERGENCY MEDICAL KIT ANNUAL MEMBERSHIP                                               </t>
  </si>
  <si>
    <t xml:space="preserve">STAT KIT 750-S EMERGENCY MEDICAL KIT QUARTERLY MEMBERSHIP                                            </t>
  </si>
  <si>
    <t xml:space="preserve">STAT KIT 750-S EMERGENCY MEDICAL KIT ANNUAL MEMBERSHIP                                               </t>
  </si>
  <si>
    <t xml:space="preserve">STAT KIT 750-AI EMERGENCY MEDICAL KIT QUARTERLY MEMBERSHIP                                           </t>
  </si>
  <si>
    <t xml:space="preserve">STAT KIT 750-AI EMERGENCY MEDICAL KIT ANNUAL MEMBERSHIP                                              </t>
  </si>
  <si>
    <t xml:space="preserve">STAT KIT Z-1000 EMERGENCY MEDICAL KIT QUARTERLY MEMBERSHIP                                           </t>
  </si>
  <si>
    <t xml:space="preserve">STAT KIT(R)  Z-1000 EMERGENCY MEDICAL KIT QUARTERLY MEMBERSHIP                                       </t>
  </si>
  <si>
    <t xml:space="preserve">STAT KIT Z-1000 EMERGENCY MEDICAL KIT ANNUAL MEMBERSHIP                                              </t>
  </si>
  <si>
    <t xml:space="preserve">STAT KIT(R)  Z-1000 EMERGENCY MEDICAL KIT ANNUAL MEMBERSHIP                                          </t>
  </si>
  <si>
    <t xml:space="preserve">STAT KIT 550 EMERGENCY MEDICAL KIT (MEMBERSHIP)                                                      </t>
  </si>
  <si>
    <t xml:space="preserve">STAT KIT 750 EMERGENCY MEDICAL KIT(MEMBERSHIP)                                                       </t>
  </si>
  <si>
    <t xml:space="preserve">STAT KIT 750 EMERGENCY MEDICAL KIT (MEMBERSHIP)                                                      </t>
  </si>
  <si>
    <t xml:space="preserve">STAT KIT 750-AI EMERGENCY MEDICAL KIT (MEMBERSHIP)                                                   </t>
  </si>
  <si>
    <t xml:space="preserve">STAT KIT®  Z-1000 EMERGENCY MEDICAL KIT (MEMBERSHIP)                                                 </t>
  </si>
  <si>
    <t xml:space="preserve">CALCIUM GLUCONATE INJECTION, USP 10% 1,000 mg per 10mL  (100mg/mL) 10mL VIAL                         </t>
  </si>
  <si>
    <t xml:space="preserve">VASOSTRICT™ (VASOPRESSIN INJECTION, USP) 20 UNITS PER mL (100mg/mL) 1mL VIAL                         </t>
  </si>
  <si>
    <t xml:space="preserve">DOPAMINE HYDROCHLORIDE IN 5% DEXTROSE INJECTION, USP 400mg 250mL BAG                                 </t>
  </si>
  <si>
    <t xml:space="preserve">6% HETASTARCH IN 0.9% SODIUM CHLORIDE INJECTION 500mL BAG                                            </t>
  </si>
  <si>
    <t xml:space="preserve">AED, HEARTSINE SAM 360P FULLY AUTOMATIC                                                              </t>
  </si>
  <si>
    <t xml:space="preserve">AUVI-Q EPINEPHRINE, USP 0.15mg &amp; 0.3mg AUTO INJECTOR TRAINER (SINGLE UNBOXED)                        </t>
  </si>
  <si>
    <t xml:space="preserve">DS, LIFEPAK CR + REPLACEMENT KIT FOR CHARGE 2 SETS OF ELECTRODES                                     </t>
  </si>
  <si>
    <t xml:space="preserve">ESMOLOL HYDROCHLORIDE INJECTION 100mg per10mL VIAL                                                   </t>
  </si>
  <si>
    <t xml:space="preserve">EPHEDRINE SULFATE INJECTIONS, USP 50 mg/mL 1mL VIAL                                                  </t>
  </si>
  <si>
    <t xml:space="preserve">2% LIDOCAINE HCL INJECTION, USP 1000mg/50mL (20mg/mL) 50mL VIAL                                      </t>
  </si>
  <si>
    <t xml:space="preserve">DOBUTAMINE IN 5% DEXTROSE INJECTION, USP 500mg 250mL BAG                                             </t>
  </si>
  <si>
    <t xml:space="preserve">LACTATED RINGER'S INJECTION, USP 1000mL BAG                                                          </t>
  </si>
  <si>
    <t xml:space="preserve">DILTIAZEM HYDROCHLORIDE INJECTION 25mg/5mL (5 mg/mL) 5mL VIAL                                        </t>
  </si>
  <si>
    <t xml:space="preserve">DOBUTAMINE INJECTION, USP 250mg PER 20mL VIAL                                                        </t>
  </si>
  <si>
    <t xml:space="preserve">PROPRANOLOL HYDROCHLORIDE INJECTION, USP 1mg/mL 1mL VIAL                                             </t>
  </si>
  <si>
    <t xml:space="preserve">AMINOPHYLLINE INJ., USP 500mg (25mg/mL) 20mL VIAL                                                    </t>
  </si>
  <si>
    <t xml:space="preserve">DEXAMETHASONE SODIUM PHOSPHATE INJECTION, USP 10mg/mL 1mL VIAL                                       </t>
  </si>
  <si>
    <t xml:space="preserve">ASPIRIN LOW DOSE CHEWABLE ORANGE PAIN RELIEVER (NSAID) 81mg 90/bt                                    </t>
  </si>
  <si>
    <t xml:space="preserve">MAGNESIUM SULFATE IN WATER FOR INJECTION (0.325 mEq Mg"/mL) 40mg/mL 2g TOTAL 50mL BAG                </t>
  </si>
  <si>
    <t xml:space="preserve">BOX, REFRIGERATION 3 DAY SHIPPER                                                                     </t>
  </si>
  <si>
    <t xml:space="preserve">TRAINING EMERGENCY MEDICAL KIT                                                                       </t>
  </si>
  <si>
    <t xml:space="preserve">TRAINING, MEDICAL EMERGENCIES IN THE DENTAL OFFICE                                                   </t>
  </si>
  <si>
    <t xml:space="preserve">STAT KIT PEDI EMERGENCY MEDICAL KIT QUARTERLY MEMBERSHIP                                             </t>
  </si>
  <si>
    <t xml:space="preserve">STAT KIT PEDI EMERGENCY MEDICAL KIT ANNUAL MEMBERSHIP                                                </t>
  </si>
  <si>
    <t xml:space="preserve">STAT KIT PEDI-INTUBATION EMERGENCY MEDICAL KIT QUARTERLY MEMBERSHIP                                  </t>
  </si>
  <si>
    <t xml:space="preserve">STAT KIT PEDI-INTUBATION EMERGENCY MEDICAL KIT ANNUAL MEMBERSHIP                                     </t>
  </si>
  <si>
    <t xml:space="preserve">STAT KIT® Z-1000 EMERGENCY MEDICAL KIT AI (MEMBERSHIP)                                               </t>
  </si>
  <si>
    <t xml:space="preserve">Z1000 W/1 ADULT AUTO-INJECTOR QUARTERLY MEMBERSHIP                                                   </t>
  </si>
  <si>
    <t xml:space="preserve">Z1000 W/1 ADULT AUTO-INJECTOR ANNUAL MEMBERSHIP                                                      </t>
  </si>
  <si>
    <t xml:space="preserve">VENTOLIN® HFA (ALBUTEROL SULFATE)  90mcg UNBOXED                                                     </t>
  </si>
  <si>
    <t xml:space="preserve">LABETALOL HYDROCHLORIDE INJECTION, USP 100mg/20mL (5mg/mL) VIAL UNBOXED                              </t>
  </si>
  <si>
    <t xml:space="preserve">CITRISIL (48) MAINTENANCE TABLETS &amp; (2) CITRISIL SHOCK TABLETS-WHITE-.7-1 L BOTTLE                   </t>
  </si>
  <si>
    <t xml:space="preserve">CITRISIL (48) MAINTENANCE TABLETS &amp; (2) CITRISIL SHOCK TABLETS-BLUE-.7-1 L BOTTLE                    </t>
  </si>
  <si>
    <t xml:space="preserve">CITRISIL (48) MAINTENANCE TABS &amp; (2) CITRISIL SHOCK TABS- WHITE, FOR 2 LITER BOTTLES                 </t>
  </si>
  <si>
    <t xml:space="preserve">CITRISIL (48) MAINTENANCE TABLETS &amp; (2) CITRISIL SHOCK TABLETS-BLUE-2 L BOTTLE                       </t>
  </si>
  <si>
    <t xml:space="preserve">CITRISIL SHOCK TABLET, 20 TABLETS                                                                    </t>
  </si>
  <si>
    <t xml:space="preserve">STERISIL® 365 DAY STRAW FOR DISTILLED WATER                                                          </t>
  </si>
  <si>
    <t xml:space="preserve">STERISIL® 365 DAY STRAW FOR MUNICIPAL WATER                                                          </t>
  </si>
  <si>
    <t xml:space="preserve">0.7 L STERISIL ANTIMICROBIAL BOTTLE                                                                  </t>
  </si>
  <si>
    <t xml:space="preserve">2 L STERISIL ANTIMICROBIAL BOTTLE                                                                    </t>
  </si>
  <si>
    <t xml:space="preserve">SimPlate HPC WATER TEST, 10 VIALS, RETURN SHIPPING, ONTRAQ REPORTING                                 </t>
  </si>
  <si>
    <t xml:space="preserve">SimPlate HPC WATER TEST, 20 VIALS, RETURN SHIPPING, ONTRAQ REPORTING                                 </t>
  </si>
  <si>
    <t xml:space="preserve">SimPlate HPC WATER TEST, 4 VIALS, RETURN SHIPPING, ONTRAQ REPORTING                                  </t>
  </si>
  <si>
    <t xml:space="preserve">UNUSED PHARMACEUTICAL RECOVERY, COST PER LB. SERVICE FEE                                             </t>
  </si>
  <si>
    <t xml:space="preserve">LIFELINKCENTRAL PREMIUM, US 4 YR                                                                     </t>
  </si>
  <si>
    <t xml:space="preserve">STAT KIT 550-AI EMERGENCY MEDICAL KIT QUARTERLY MEMBERSHIP                                           </t>
  </si>
  <si>
    <t xml:space="preserve">STAT KIT 550-AI EMERGENCY MEDICAL KIT ANNUAL MEMBERSHIP                                              </t>
  </si>
  <si>
    <t xml:space="preserve">STAT KIT 550-AI EMERGENCY MEDICAL KIT (MEMBERSHIP)                                                   </t>
  </si>
  <si>
    <t xml:space="preserve">STERISIL VALVED CARTRIDGE SET-UP KIT                                                                 </t>
  </si>
  <si>
    <t xml:space="preserve">STERISIL VALVED CARTRIDGE 8 (LENGTH 8-3/8 X DIAMETER 2.5)                                            </t>
  </si>
  <si>
    <t xml:space="preserve">STERISIL VALVED CARTRIDGE 10 (LENGTH 10-3/8 X DIAMETER 2.5)                                          </t>
  </si>
  <si>
    <t xml:space="preserve">STERISIL AC+ UNIT FOR AUTOCLAVE WATER TDS ABOVE 150                                                  </t>
  </si>
  <si>
    <t xml:space="preserve">STERISIL VALVED CARTRIDGE 20 (LENGTH 14-3/4 X DIAMETER 2.5)                                          </t>
  </si>
  <si>
    <t xml:space="preserve">STERISIL SYSTEM G5 DENTAL WATER PURIFICATION SYSTEM WITH TOUCHSCREEN MONITORING, UP TO 4 OPERATORIES </t>
  </si>
  <si>
    <t xml:space="preserve">STERISIL SYSTEM G5 DENTAL WATER PURIFICATION SYSTEM WITH TOUCHSCREEN MONITORING, 5 TO 15 OPERATORIES </t>
  </si>
  <si>
    <t xml:space="preserve">STERISIL SYSTEM G5 DENTAL WATER PURIFICATION SYSTEM W/ TOUCHSCREEN MONITORING, 16 TO 35 OPERATORIES  </t>
  </si>
  <si>
    <t xml:space="preserve">STERISIL INLINE CARTRIDGE 3i (LENGTH 6-1/16 X DIAMETER 2) W/ SET-UP KIT                              </t>
  </si>
  <si>
    <t xml:space="preserve">STERISIL SYSTEM G5 DENTAL WATER PURIFICATION SYSTEM W/ TOUCHSCREEN MONITORING, 36+ OPERATORIES       </t>
  </si>
  <si>
    <t xml:space="preserve">STERISIL SYSTEM WATER TREATMENT SYSTEM W/ ELECTRONIC MONITORS, UP TO 4 OPERATORIES                   </t>
  </si>
  <si>
    <t xml:space="preserve">STERISIL SYSTEM WATER TREATMENT SYSTEM  W/ ELECTRONIC MONITORS, 5-15 OPERATORIES                     </t>
  </si>
  <si>
    <t xml:space="preserve">STERISIL SYSTEM WATER TREAMENT SYSTEM W/ ELECTRONIC MONITORS, 16-36 OPERATORIES                      </t>
  </si>
  <si>
    <t xml:space="preserve">STERISIL SYSTEM WATER TREATMENT SYSTEM W/ ELECTRONIC MONITORS, 36+ OPERATORIES                       </t>
  </si>
  <si>
    <t xml:space="preserve">STERISIL INLINE CARTRIDGE 7i (LENGTH 8-1/16 X DIAMETER 2.5) W/ SET-UP KIT                            </t>
  </si>
  <si>
    <t xml:space="preserve">STERISIL INLINE CARTRIDGE 9i (LENGTH 8-1/16 X DIAMETER 2.5) W/ SET-UP KIT                            </t>
  </si>
  <si>
    <t xml:space="preserve">AMALGAM, + SYSTEM (3001 COLLECTOR AND 5001 BUFFER) RECYCLE                                           </t>
  </si>
  <si>
    <t xml:space="preserve">AED, WALL SIGN                                                                                       </t>
  </si>
  <si>
    <t xml:space="preserve">AMIODARONE HYDROCHLORIDE INJECTION 900mg/18mL (50mg/mL) 18mL VIAL                                    </t>
  </si>
  <si>
    <t xml:space="preserve">BOX, TIMESAVER 24 MINI REFIGERATE BOX                                                                </t>
  </si>
  <si>
    <t xml:space="preserve">GLUTOSE15(TM) 15g                                                                                    </t>
  </si>
  <si>
    <t xml:space="preserve">WHITE PULL-TITE II SAFTEY SEAL                                                                       </t>
  </si>
  <si>
    <t xml:space="preserve">BOX, PURETEMP BRICK (ORANGE)                                                                         </t>
  </si>
  <si>
    <t xml:space="preserve">BOX, POLAR PACK FOAM BRICK (WHITE)                                                                   </t>
  </si>
  <si>
    <t xml:space="preserve">BOX, MINI GEL PACK (WHITE)                                                                           </t>
  </si>
  <si>
    <t xml:space="preserve">BOX, COLD FLEXIBLE CLEAR POUCH                                                                       </t>
  </si>
  <si>
    <t xml:space="preserve">NALOXONE HYDROCHLORIDE INJECTION, USP 0.4mg/mL 10mL VIAL                                             </t>
  </si>
  <si>
    <t xml:space="preserve">POTASSIUM CHLORIDE FOR INJECTION CONCENTRATE, USP 20 mEq/10mL (2 mEq/mL                              </t>
  </si>
  <si>
    <t xml:space="preserve">NALBUPHINE HCL INJECTION 20mg/mL 10mL VIAL                                                           </t>
  </si>
  <si>
    <t xml:space="preserve">NALBUPHINE HCL INJ. 10mg/mL 10mL VIAL                                                                </t>
  </si>
  <si>
    <t xml:space="preserve">LIDOCAINE HCL 1% AND EPINEPHRINE 1:100,000 INJECTION USP 50mL VIAL                                   </t>
  </si>
  <si>
    <t xml:space="preserve">0.5% BUPIVACAINE HYDROCHLORIDE INJECTION, USP (5 mg/mL) 50 mL MDV                                    </t>
  </si>
  <si>
    <t xml:space="preserve">HEPARIN SODIUM IN 0.45% SODIUM CHLORIDE INJECTION (100 USP UNITS/mL) 250 mL                          </t>
  </si>
  <si>
    <t xml:space="preserve">0.5% LIDOCAINE HCL INJECTION, USP 250 mg/50 mL (5 mg/mL) 50 mL VIAL                                  </t>
  </si>
  <si>
    <t xml:space="preserve">LIDOCAINE HCL 1% AND EPINEPHRINE 1:100,000 INJECTION USP 30mL VIAL                                   </t>
  </si>
  <si>
    <t xml:space="preserve">MAGNESIUM SULFATE INJECTION, USP 50% 1gram per 2mL (500mg per mL) 2mL VIAL                           </t>
  </si>
  <si>
    <t xml:space="preserve">DOXY 100™  DOXYCYCLINE FOR INJECTION, USP 100mg per VIAL 20mL VIAL                                   </t>
  </si>
  <si>
    <t xml:space="preserve">PYRIDOXINE HCL INJECTION, USP 100mg per mL 1mL VIAL                                                  </t>
  </si>
  <si>
    <t xml:space="preserve">LIDOCAINE HCL INJECTION, USP 2% (100mg/5mL) (20mg/mL) 5mL VIAL                                       </t>
  </si>
  <si>
    <t xml:space="preserve">PROTAMINE SULFATE INJECTION, USP 50mg/5mL (10mg/mL) 5mL VIAL                                         </t>
  </si>
  <si>
    <t xml:space="preserve">POLOCAINE(R) -MPF (MEPIVACAINE HCL INJECTION, USP) 1% 300mg per 30mL (10mg per mL) 30mL VIAL         </t>
  </si>
  <si>
    <t xml:space="preserve">SENSORCAINE(R) WITH EPINEPHRINE 1:200,000 (AS BITARTRATE) 0.25% 125mg/50mL (2.5mg/mL) 50mL VIAL      </t>
  </si>
  <si>
    <t xml:space="preserve">SENSORCAINE(R) WITH EPINEPHRINE 1:200,000 (AS BITARTRATE) 0.5% 250mg/50mL (5mg/mL) 50mL VIAL         </t>
  </si>
  <si>
    <t xml:space="preserve">NESACAINE(R) -MPF (CHLOROPROCAINE HCI INJECTION, USP) 2% (400mg per 20mL) (20mg per mL) 20mL VIAL    </t>
  </si>
  <si>
    <t xml:space="preserve">HEPARIN SODIUM INJECTION, USP 50,000 USP UNITS PER 5mL (10,000 USP UNITS per mL) 5mL VIAL            </t>
  </si>
  <si>
    <t xml:space="preserve">LIDOCAINE HCL JELLY, USP, 2%, 100mg URO-JET                                                          </t>
  </si>
  <si>
    <t xml:space="preserve">HYDRALAZINE HYDROCHLORIDE INJECTION, USP 20mg per mL 1mL VIAL                                        </t>
  </si>
  <si>
    <t xml:space="preserve">AMIODARONE HCL INJECTION 150 mg/3 mL (50 mg/mL) 3 mL VIAL                                            </t>
  </si>
  <si>
    <t xml:space="preserve">FAMOTIDINE INJECTION, USP 20 mg/2mL 2mL VIAL                                                         </t>
  </si>
  <si>
    <t xml:space="preserve">NITROGLYCERIN INJECTION, USP 50mg/10mL (5mg/mL) 10mL VIAL                                            </t>
  </si>
  <si>
    <t xml:space="preserve">LIDOCAINE HCI INJECTION, USP 2% (1000mg/50mL) (20mg/mL) 50 mL VIAL                                   </t>
  </si>
  <si>
    <t xml:space="preserve">10% CALCIUM CHLORIDE INJECTION, USP 1 g/10 mL (100 mg/ mL) (1.4 mEq/mL) LUER-JET™ SYR                </t>
  </si>
  <si>
    <t xml:space="preserve">CYANOCOBALAMIN INJECTION, USP 30000 mcg/30 mL (1000 mcg/mL) 30 mL VIAL                               </t>
  </si>
  <si>
    <t xml:space="preserve">DOPRAM INJECTION (DOXAPRAM HYDROCHLORIDE INJECTION, USP) 400 mg/20 mL (20 mg/mL) 20 mL VIAL          </t>
  </si>
  <si>
    <t xml:space="preserve">CHLORPROMAZINE HCL INJECTION, USP 50 mg/2 mL (25 mg/mL) 2 mL AMPUL                                   </t>
  </si>
  <si>
    <t xml:space="preserve">LIDOCAINE HCL INJECTION, USP 2% (100 mg/5 mL) (20 mg/mL) 5mL VIAL                                    </t>
  </si>
  <si>
    <t xml:space="preserve">XYLOCAINE(R) -MPF WITH EPINEPHRINE 1:200,000 1% 300mg per 30mL (10mg per mL) 30mL VIAL               </t>
  </si>
  <si>
    <t xml:space="preserve">XYLOCAINE® -MPF WITH EPINEPHRINE 1:200,000 2% 200mg per 10mL (20mg per mL) 10mL VIAL                 </t>
  </si>
  <si>
    <t xml:space="preserve">LIDOCAINE HCL INJ., USP, 2% 100 mg per 5 mL 100 mg LUER-JET™ SYR                                     </t>
  </si>
  <si>
    <t xml:space="preserve">SODIUM BICARBONATE INJECTION USP, 8.4% 50 mEq/50 mL (1 mEq/mL) LUER-JET™ SYR                         </t>
  </si>
  <si>
    <t xml:space="preserve">TIGAN(R) (TRIMETHOBENZAMIDE HYDROCHLORIDE) INJECTION 200mg/2mL (100mg/mL) 2mL VIAL                   </t>
  </si>
  <si>
    <t xml:space="preserve">HEPARIN SODIUM INJECTION, USP 10000 USP UNITS/mL 1mL VIAL                                            </t>
  </si>
  <si>
    <t xml:space="preserve">BUFFERED PENICILLIN G POTASSIUM FOR INJECTION, USP 5,000,000 UNITS (5 MILLION UNITS)                 </t>
  </si>
  <si>
    <t xml:space="preserve">LIDOCAINE HCL INJECTION, USP 1% (50mg/5mL) (10mg/mL) 5 mL VIAL                                       </t>
  </si>
  <si>
    <t xml:space="preserve">INFED(R) (IRON DEXTRAN INJECTION, USP) 100mg elemental iron/2mL (50mg/mL) 2mL VIAL                   </t>
  </si>
  <si>
    <t xml:space="preserve">ESMOLOL HYDROCHLORIDE INJECTION 100mg per 10mL (10mg/mL) 10mL VIAL                                   </t>
  </si>
  <si>
    <t xml:space="preserve">LEXISCAN(R) (REGADENOSON) INJECTION 0.4mg/5mL (0.08 mg/mL) 5mL SYR                                   </t>
  </si>
  <si>
    <t xml:space="preserve">BUMETANIDE INJECTION, USP 1mg/4mL (0.25 mg/mL) 4mL VIAL                                              </t>
  </si>
  <si>
    <t xml:space="preserve">ADENOSINE INJECTION, USP 12mg/4mL (3mg/mL) 4mL VIAL                                                  </t>
  </si>
  <si>
    <t xml:space="preserve">MAGNESIUM SULFATE INJECTION, USP 50% 5 grams per 10mL (500 mg per mL) 10mL VIAL                      </t>
  </si>
  <si>
    <t xml:space="preserve">10% CALCIUM CHLORIDE INJECTION, USP 1000mg/10mL (100mg/mL) SYR                                       </t>
  </si>
  <si>
    <t xml:space="preserve">50% DEXTROSE INJECTION, USP 25 grams (0.5g/mL) 50mL SYR                                              </t>
  </si>
  <si>
    <t xml:space="preserve">DILTIAZEM HCI FOR INJECTION 100mg/VIAL DILTIAZEM HCI VIAL                                            </t>
  </si>
  <si>
    <t xml:space="preserve">DOPAMINE HCL IN 5% DEXTROSE INJECTION, USP 800mg/500mL (1,600mcg/mL) 500mL BAG                       </t>
  </si>
  <si>
    <t xml:space="preserve">1% LIDOCAINE HCL INJECTION, USP 50mg/5mL (10mg/mL) 5mL ANSYR SYR                                     </t>
  </si>
  <si>
    <t xml:space="preserve">1% LIDOCAINE HCL INJECTION, USP 500mg/50mL (10mg/mL) 50mL VIAL                                       </t>
  </si>
  <si>
    <t xml:space="preserve">25% MANNITOL INJECTION, USP 12.5g/50mL (250mg/mL) 50mL VIAL                                          </t>
  </si>
  <si>
    <t xml:space="preserve">PROPOFOL INJECTABLE EMULSION 1g/100mL (10mg/mL) 100mL VIAL                                           </t>
  </si>
  <si>
    <t xml:space="preserve">PROPOFOL INJECTABLE EMULSION 500mg/50mL (10mg/mL) 50mLVIAL                                           </t>
  </si>
  <si>
    <t xml:space="preserve">STERILE WATER FOR INJECTION, USP 20mL VIAL                                                           </t>
  </si>
  <si>
    <t xml:space="preserve">VECURONIUM BROMIDE FOR INJECTION 10mg 1mg/mL 10mL VIAL                                               </t>
  </si>
  <si>
    <t xml:space="preserve">ENALAPRILAT INJECTION 1.25mg/mL 1mL VIAL                                                             </t>
  </si>
  <si>
    <t xml:space="preserve">METOPROLOL TARTRATE INJECTION, USP 5mg/5mL (1mg PER mL) 5mL VIAL                                     </t>
  </si>
  <si>
    <t xml:space="preserve">NEXTERONE (AMIODARONE HCL) PREMIXED INJECTION 360mg/200mL (1.8mg/mL) 200mL BAG                       </t>
  </si>
  <si>
    <t xml:space="preserve">NICARDIPINE HYDROCHLORIDE INJECTION 25mg/10mL (2.5 mg/mL) 10mL VIAL                                  </t>
  </si>
  <si>
    <t xml:space="preserve">HEPARIN SODIUM INJECTION, USP 10,000 USP UNITS/mL 1mL VIAL                                           </t>
  </si>
  <si>
    <t xml:space="preserve">GLYCOPYRROLATE INJECTION, USP 0.2mg/mL CONTAINS BENZYL ALCOHOL 1mL VIAL                              </t>
  </si>
  <si>
    <t xml:space="preserve">MISCELLANEOUS ITEMS -AR NONTAX                                                                       </t>
  </si>
  <si>
    <t xml:space="preserve">5% DEXTROSE INJECTION, USP 250mL BAG                                                                 </t>
  </si>
  <si>
    <t xml:space="preserve">ASPIRIN (NSAID) 325mg EACH 100 TABLETS                                                               </t>
  </si>
  <si>
    <t xml:space="preserve">STOP FEE INCL FIRST CONTAINER                                                                        </t>
  </si>
  <si>
    <t xml:space="preserve">NO WASTE FEE                                                                                         </t>
  </si>
  <si>
    <t xml:space="preserve">DELIVERY FEE                                                                                         </t>
  </si>
  <si>
    <t xml:space="preserve">8GAL RMW PG2 1ST CONTAINER NC                                                                        </t>
  </si>
  <si>
    <t xml:space="preserve">8GAL RMW PG2 CONTAINER FEE                                                                           </t>
  </si>
  <si>
    <t xml:space="preserve">12GAL RMW PG2 1ST CONTAINER NC                                                                       </t>
  </si>
  <si>
    <t xml:space="preserve">12GAL RMW PG2 CONTAINER FEE                                                                          </t>
  </si>
  <si>
    <t xml:space="preserve">18GAL RMW PG2 1ST CONTAINER NC                                                                       </t>
  </si>
  <si>
    <t xml:space="preserve">18GAL RMW PG2 CONTAINER FEE                                                                          </t>
  </si>
  <si>
    <t xml:space="preserve">20GAL RMW TUB 1ST CONTAINER NC                                                                       </t>
  </si>
  <si>
    <t xml:space="preserve">20GAL RMW TUB CONTAINER FEE                                                                          </t>
  </si>
  <si>
    <t xml:space="preserve">23GAL RMW CORR BOX 1ST CONTAINER NC                                                                  </t>
  </si>
  <si>
    <t xml:space="preserve">RMW CORR BOX CONTAINER FEE                                                                           </t>
  </si>
  <si>
    <t xml:space="preserve">28GAL RMW TUB 1ST CONTAINER NC                                                                       </t>
  </si>
  <si>
    <t xml:space="preserve">RMW TUB CONTAINER FEE                                                                                </t>
  </si>
  <si>
    <t xml:space="preserve">38GAL RMW TUB 1ST CONTAINER NC                                                                       </t>
  </si>
  <si>
    <t xml:space="preserve">STAT KIT 550-AI EMERGENCY MEDICAL KIT                                                                </t>
  </si>
  <si>
    <t xml:space="preserve">SimPlate HPC WATER TEST, 6 VIALS, RETURN SHIPPING, ONTRAQ REPORTING                                  </t>
  </si>
  <si>
    <t xml:space="preserve">DOPAMINE HYDROCHLORIDE INJECTION, USP 200mg/5mL (40mg/mL) 5mL VIAL                                   </t>
  </si>
  <si>
    <t xml:space="preserve">DOPAMINE HYDROCHLORIDE INJECTION, USP 400mg/10mL (40mg/mL) 10mL VIAL                                 </t>
  </si>
  <si>
    <t xml:space="preserve">38GAL RMW TUB  CONTAINER FEE                                                                         </t>
  </si>
  <si>
    <t xml:space="preserve">44GAL RMW TUB 1ST CONTAINER NC                                                                       </t>
  </si>
  <si>
    <t xml:space="preserve">44GAL RMW TUB CONTAINER FEE                                                                          </t>
  </si>
  <si>
    <t xml:space="preserve">96GAL RMW TUB 1ST CONTAINER NC                                                                       </t>
  </si>
  <si>
    <t xml:space="preserve">96GAL RMW TUB CONTAINER FEE                                                                          </t>
  </si>
  <si>
    <t xml:space="preserve">SHRED STOP FEE INCLUDES FIRST 2 CONSOLES                                                             </t>
  </si>
  <si>
    <t xml:space="preserve">SHRED MORE THAN 2 CONSOLE FEE                                                                        </t>
  </si>
  <si>
    <t xml:space="preserve">LIDOCAINE HCl 2% AND EPINEPHRINE 1:100,000 INJECTION, USP 30mL VIAL                                  </t>
  </si>
  <si>
    <t xml:space="preserve">LIDOCAINE HCl 2% AND EPINEPHRINE 1:100,000 INJECTION, USP 50mL VIAL                                  </t>
  </si>
  <si>
    <t xml:space="preserve">XYLOCAINE®  WITH EPINEPHRINE 1:100,000 2% 1000mg PER 50mL (20mg PER mL) 50mL VIAL                    </t>
  </si>
  <si>
    <t xml:space="preserve">XYLOCAINE(R) WITH EPINEPHRINE 1:100,000 2% 400mg PER 20mL (20mg PER mL) 20mL VIAL                    </t>
  </si>
  <si>
    <t xml:space="preserve">RMW MONTHLY SERVICE FEE                                                                              </t>
  </si>
  <si>
    <t xml:space="preserve">LIQUID ULTRA SOLUTION FOR DUWLs                                                                      </t>
  </si>
  <si>
    <t xml:space="preserve">AED, HEARTSINE SAMARITAN® PAD 350P DEFIB (COMPLETE UNIT)                                             </t>
  </si>
  <si>
    <t xml:space="preserve">0.9% SODIUM CHLORIDE INJECTION, USP 250mL BAG                                                        </t>
  </si>
  <si>
    <t xml:space="preserve">0.9% SODIUM CHLORIDE INJECTION, USP 1000mL BAG                                                       </t>
  </si>
  <si>
    <t xml:space="preserve">0.9% SODIUM CHLORIDE INJECTION, USP 100mL BAG                                                        </t>
  </si>
  <si>
    <t xml:space="preserve">LACTATED RINGER'S AND 5% DEXTROSE INJECTION, USP 1000mL BAG                                          </t>
  </si>
  <si>
    <t xml:space="preserve">MISCELLANEOUS SERVICES                                                                               </t>
  </si>
  <si>
    <t xml:space="preserve">0.9% SODIUM CHLORIDE INJECTION, USP 500mL BAG                                                        </t>
  </si>
  <si>
    <t xml:space="preserve">ATROPINE SULFATE INJECTION, USP 1 mg/mL 1mL VIAL                                                     </t>
  </si>
  <si>
    <t xml:space="preserve">THIAMINE HCl INJECTION, USP 200 mg/2 mL (100 mg/mL) 2mL VIAL                                         </t>
  </si>
  <si>
    <t xml:space="preserve">HALOPERIDOL INJECTION, USP (FOR IMMEDIATE RELEASE) 5 mg/mL 1mL VIAL                                  </t>
  </si>
  <si>
    <t xml:space="preserve">MISCELLANEOUS - SALES ADJ                                                                            </t>
  </si>
  <si>
    <t xml:space="preserve">NON-HAZ PHARMA OR TRACE CHEMO PER CONTAINER FEE                                                      </t>
  </si>
  <si>
    <t xml:space="preserve">DS, DISPOSABLE ISOLATION GOWN BLUE 10/BG                                                             </t>
  </si>
  <si>
    <t xml:space="preserve">SUCCINYLCHOLINE CHLORIDE INJECTION, USP 200mg/10mL (20mg/mL) 10mL VIAL                               </t>
  </si>
  <si>
    <t xml:space="preserve">ATP METER                                                                                            </t>
  </si>
  <si>
    <t xml:space="preserve">ULTRA SNAP ATP METER SWABS 100/BOX                                                                   </t>
  </si>
  <si>
    <t xml:space="preserve">WATER RETEST KIT- 1 VIALS W/ SHOCK TABS                                                              </t>
  </si>
  <si>
    <t xml:space="preserve">WATER RETEST KIT- 3 VIALS W/ SHOCK TABS                                                              </t>
  </si>
  <si>
    <t xml:space="preserve">WATER RETEST KIT- 6 VIALS W/ SHOCK TABS                                                              </t>
  </si>
  <si>
    <t xml:space="preserve">EPINEPHRINE INJECTION, USP 1mg/10mL (0.1mg/mL) 10mL SYR                                              </t>
  </si>
  <si>
    <t xml:space="preserve">ATROPINE SULFATE INJECTION, USP 1mg/10mL (0.1mg/mL) 10mL SYR                                         </t>
  </si>
  <si>
    <t xml:space="preserve">NOREPINEPHRINE BITARTRATE INJECTION, USP 4mg PER 4mL (1 mg/mL) 4mL VIAL                              </t>
  </si>
  <si>
    <t xml:space="preserve">1% LIDOCAINE HCl INJECTION, USP 300mg/30mL (10mg/mL) 30mL VIAL                                       </t>
  </si>
  <si>
    <t xml:space="preserve">TRANEXAMIC ACID INJECTION 1000mg PER 10mL (100mg/mL) 10mL VIAL                                       </t>
  </si>
  <si>
    <t xml:space="preserve">PHARMA: 10GAL BOX - PHARMACEUTICAL RECOVERY SERVICE                                                  </t>
  </si>
  <si>
    <t xml:space="preserve">PHARMA: 5GAL BOX - PHARMACEUTICAL RECOVERY SERVICE                                                   </t>
  </si>
  <si>
    <t xml:space="preserve">PHARMA: 1GAL BOX - PHARMACEUTICAL RECOVERY SERVICE                                                   </t>
  </si>
  <si>
    <t xml:space="preserve">FACE MASK 50/BOX, PEDIATRIC, BLUE                                                                    </t>
  </si>
  <si>
    <t xml:space="preserve">HYLENEX® RECOMBINANT 1mL (HYALURONIDASE HUMAN INJECTION) 150 USP UNITS/mL 1mL VIAL                   </t>
  </si>
  <si>
    <t xml:space="preserve">ACETAMINOPHEN INJECTION 1,000mg PER 100mL (10mg/mL) 100mL VIAL                                       </t>
  </si>
  <si>
    <t xml:space="preserve">DEXAMETHASONE SODIUM PHOSPHATE INJECTION USP 100mg PER 10mL(10mg/mL*) 10mL VIAL                      </t>
  </si>
  <si>
    <t xml:space="preserve">ETOMIDATE INJECTION, USP 40mg PER 20mL (2mg/mL) 20mL VIAL                                            </t>
  </si>
  <si>
    <t xml:space="preserve">LIDOCAINE HCI INJECTION USP 2% 100mg/5mL (20mg/mL) 5mL VIAL                                          </t>
  </si>
  <si>
    <t xml:space="preserve">ROCURONIUM BROMIDE INJECTION 100mg PER 10mL (10mg/mL) 10mL VIAL                                      </t>
  </si>
  <si>
    <t xml:space="preserve">ROCURONIUM BROMIDE INJECTION, 50mg PER 5mL (10mg/mL) 5mL VIAL                                        </t>
  </si>
  <si>
    <t xml:space="preserve">VECURONIUM BROMIDE FOR INJECTION, 10mg PER VIAL* 10mL VIAL                                           </t>
  </si>
  <si>
    <t xml:space="preserve">VERAPAMIL HCI INJECTION, USP 10mg PER 4mL (2.5mg/mL) 4mL VIAL                                        </t>
  </si>
  <si>
    <t xml:space="preserve">VERAPAMIL HCI INJECTION USP, 5mg PER 2mL (2.5mg/mL) 2mL VIAL                                         </t>
  </si>
  <si>
    <t xml:space="preserve">ONDANSETRON TABLETS USP 4mg* (4 PACK)                                                                </t>
  </si>
  <si>
    <t xml:space="preserve">METHYLERGONOVINE MALEATE INJECTION, USP 0.2mg PER mL 1mL AMPULES                                     </t>
  </si>
  <si>
    <t xml:space="preserve">WRIST CUFF SPHYGMOMANOMETER                                                                          </t>
  </si>
  <si>
    <t xml:space="preserve">SOTRADECOL® 1% (SODIUM TETRADECYL SULFATE INJECTION) 20mg/2mL (10mg/mL) 2mL VIAL                     </t>
  </si>
  <si>
    <t xml:space="preserve">SOTRADECOL 3% (SODIUM TETRADECYL SULFATE INJECTION) 60mg/2mL (30mg/mL) 2mL VIAL                      </t>
  </si>
  <si>
    <t xml:space="preserve">LIDOCAINE HCI AND 5% DEXTROSE INJECTION USP, 2g (8mg/mL) 250mL BAG                                   </t>
  </si>
  <si>
    <t xml:space="preserve">DOBUTAMINE HYDROCHLORIDE IN 5% DEXTROSE INJECTION, 250mg PER 250mL (1,000 mcg/mL) 250mL BAG          </t>
  </si>
  <si>
    <t xml:space="preserve">COSYNTROPIN FOR INJECTION, 0.25mg/VIAL 1mL VIAL                                                      </t>
  </si>
  <si>
    <t xml:space="preserve">VENOFER (IRON SUCROSE INJECTION,USP) 100mg ELEMENTAL IRON PER 5mL (20mg/mL) 5mL VIAL                 </t>
  </si>
  <si>
    <t xml:space="preserve">PAIR, WALLETED NITRILE GLOVES, LARGE                                                                 </t>
  </si>
  <si>
    <t xml:space="preserve">FUROSEMIDE INJECTION, USP 100mg PER 10mL (10mg PER mL) 10mL VIAL                                     </t>
  </si>
  <si>
    <t xml:space="preserve">FUROSEMIDE INJECTION, USP 20mg PER 2mL (10mg PER mL) 2mL VIAL                                        </t>
  </si>
  <si>
    <t xml:space="preserve">FUROSEMIDE INJECTION, USP 40mg PER 4mL (10mg PER mL) 4mL VIAL                                        </t>
  </si>
  <si>
    <t xml:space="preserve">ACTIVEPURE, SURFACE &amp; AIR GUARDIAN CELL                                                              </t>
  </si>
  <si>
    <t xml:space="preserve">ACTIVEPURE, SURFACE &amp; AIR GUARDIAN FILTER                                                            </t>
  </si>
  <si>
    <t xml:space="preserve">ACTIVEPURE, BEYOND GUARDIAN CELL                                                                     </t>
  </si>
  <si>
    <t xml:space="preserve">ACTIVEPURE, BEYOND GUARDIAN FILTER                                                                   </t>
  </si>
  <si>
    <t xml:space="preserve">AED, PREP KIT                                                                                        </t>
  </si>
  <si>
    <t xml:space="preserve">CCAR 500                                                                                             </t>
  </si>
  <si>
    <t xml:space="preserve">CCAR 1000                                                                                            </t>
  </si>
  <si>
    <t xml:space="preserve">CCAR 1500                                                                                            </t>
  </si>
  <si>
    <t xml:space="preserve">CCAR 2000                                                                                            </t>
  </si>
  <si>
    <t xml:space="preserve">CCAR 2500                                                                                            </t>
  </si>
  <si>
    <t xml:space="preserve">CCAR 3000                                                                                            </t>
  </si>
  <si>
    <t xml:space="preserve">CCAR 3500                                                                                            </t>
  </si>
  <si>
    <t xml:space="preserve">CCAR 750                                                                                             </t>
  </si>
  <si>
    <t xml:space="preserve">ACTIVEPURE, MEDICAL GUARDIAN (MEMBERSHIP)                                                            </t>
  </si>
  <si>
    <t xml:space="preserve">ACTIVEPURE, SURFACE &amp; AIR GUARDIAN (MEMBERSHIP)                                                      </t>
  </si>
  <si>
    <t xml:space="preserve">ACTIVEPURE, BEYOND GUARDIAN (MEMBERSHIP)                                                             </t>
  </si>
  <si>
    <t xml:space="preserve">ACTIVEPURE, INDUCT GUARDIAN I (MEMBERSHIP)                                                           </t>
  </si>
  <si>
    <t xml:space="preserve">MANUAL SUCTION PUMP                                                                                  </t>
  </si>
  <si>
    <t xml:space="preserve">BERMAN AIRWAY, OROPHARYNGEAL 60MM                                                                    </t>
  </si>
  <si>
    <t xml:space="preserve">BERMAN AIRWAY, OROPHARYNGEAL 80MM                                                                    </t>
  </si>
  <si>
    <t xml:space="preserve">RAPID CHECK WATER TEST 1 VIAL ADDITIONAL - VIAL ONLY                                                 </t>
  </si>
  <si>
    <t xml:space="preserve">SHARPS, 1 QUART 4 PACK                                                                               </t>
  </si>
  <si>
    <t xml:space="preserve">ASPIRIN (NSAID) 325mg 2 TABLET (2 PACKS)                                                             </t>
  </si>
  <si>
    <t xml:space="preserve">50% DEXTROSE INJECTION, USP 25g/50mL (0.5 g/mL) 50mL LUER-JET™ SYR                                   </t>
  </si>
  <si>
    <t xml:space="preserve">BOX, TIMESAVER LARGE REFIGERATE BOX                                                                  </t>
  </si>
  <si>
    <t xml:space="preserve">BOX, PAYLOAD BOX- TIMESAVER LARGE                                                                    </t>
  </si>
  <si>
    <t xml:space="preserve">BOX, COLD BLANKET- TIMESAVER LARGE                                                                   </t>
  </si>
  <si>
    <t xml:space="preserve">NALOXONE HYDROCHLORIDE INJECTION, USP 2mg PER 2mL (1mg/mL) 2mL SYR                                   </t>
  </si>
  <si>
    <t xml:space="preserve">TRAINING, CARDIOVASCULAR CONSIDERATIONS FOR THE DENTAL PRACTICE                                      </t>
  </si>
  <si>
    <t xml:space="preserve">TRAINING, HYPERTENSION CONSIDERATIONS FOR DENTISTRY                                                  </t>
  </si>
  <si>
    <t xml:space="preserve">TRAINING, PREVENTING MEDICAL EMERGENCIES AMONG DIABETIC PATIENTS                                     </t>
  </si>
  <si>
    <t xml:space="preserve">TRAINING, CHRONIC CONDITIONS SERIES- CARDIOVASCULAR, DIABETES, HYPERTENSION                          </t>
  </si>
  <si>
    <t xml:space="preserve">GLYCOPYRROLATE INJECTION, USP 1mg/5mL (0.2mg/mL) 5mL VIAL                                            </t>
  </si>
  <si>
    <t xml:space="preserve">LABETALOL HCl INJECTION, USP 100mg/20mL (5mg/mL) 20mL VIAL BOXED                                     </t>
  </si>
  <si>
    <t xml:space="preserve">LABETALOL HCl INJECTION, USP 100mg/20mL (5mg/mL) 20mL VIAL UNBOXED                                   </t>
  </si>
  <si>
    <t xml:space="preserve">SM27 SELECT ANNUAL MEMBERSHIP                                                                        </t>
  </si>
  <si>
    <t xml:space="preserve">SM7 SELECT ANNUAL MEMBERSHIP                                                                         </t>
  </si>
  <si>
    <t xml:space="preserve">SM27 SELECT EMERGENCY MEDICAL KIT - ADULT AND PEDI                                                   </t>
  </si>
  <si>
    <t xml:space="preserve">SM27 SELECT EMERGENCY MEDICAL KIT - ADULT AND PEDI (MEMBERSHIP)                                      </t>
  </si>
  <si>
    <t xml:space="preserve">SM27 SELECT EMERGENCY MEDICAL KIT (MEMBERSHIP)                                                       </t>
  </si>
  <si>
    <t xml:space="preserve">SM7 SELECT EMERGENCY MEDICAL KIT - ADULT                                                             </t>
  </si>
  <si>
    <t xml:space="preserve">SM7 SELECT EMERGENCY MEDICAL KIT - ADULT (MEMBERSHIP)                                                </t>
  </si>
  <si>
    <t xml:space="preserve">GRAFCO SILVER NITRATE 6" APPLICATORS (75% SILVER NITRATE, 25% POTASSIUM NITRATE) 100 PER TUBE        </t>
  </si>
  <si>
    <t xml:space="preserve">SM27 SELECT QUARTERLY MEMBERSHIP                                                                     </t>
  </si>
  <si>
    <t xml:space="preserve">SM7 SELECT QUARTERLY MEMBERSHIP                                                                      </t>
  </si>
  <si>
    <t xml:space="preserve">ATROPINE SULFATE INJECTION, USP 1mg/mL 1mL VIAL                                                      </t>
  </si>
  <si>
    <t xml:space="preserve">ATROPINE SULFATE INJECTION, USP 0.4mg/mL 1mL VIAL                                                    </t>
  </si>
  <si>
    <t xml:space="preserve">ATROPINE SULFATE INJECTION, USP 8mg/20mL (0.4mg/mL) 20mL VIAL                                        </t>
  </si>
  <si>
    <t xml:space="preserve">THERMOMETER, SINGLE USE DISPOSABLE 100/BOX                                                           </t>
  </si>
  <si>
    <t xml:space="preserve">XYLOCAINE® (LIDOCAINE HCl &amp; EPI INJ, USP) W/ EPI 1:100,000 1% 200mg/20mL (10mg/mL) 20mL VIAL         </t>
  </si>
  <si>
    <t xml:space="preserve">LIFELINKCENTRAL PRO LICENSE FEE, 1-YEAR                                                              </t>
  </si>
  <si>
    <t xml:space="preserve">LIFELINKCENTRAL PRO LICENSE FEE, 2-YEAR                                                              </t>
  </si>
  <si>
    <t xml:space="preserve">LIFELINKCENTRAL PRO LICENSE FEE, 4-YEAR                                                              </t>
  </si>
  <si>
    <t xml:space="preserve">LIFELINKCENTRAL PRO LICENSE FEE, 8-YEAR                                                              </t>
  </si>
  <si>
    <t xml:space="preserve">LIFELINKCENTRAL NON-CONNECTED DEVICE UPLOAD FEE                                                      </t>
  </si>
  <si>
    <t xml:space="preserve">LIFELINKCENTRAL PREMIUM, US 1-YEAR                                                                   </t>
  </si>
  <si>
    <t xml:space="preserve">LIFELINKCENTRAL PREMIUM, 1-YEAR, NON STRYKER                                                         </t>
  </si>
  <si>
    <t xml:space="preserve">LIFELINKCENTRAL PREMIUM, US 2-YEAR                                                                   </t>
  </si>
  <si>
    <t xml:space="preserve">LIFELINKCENTRAL PREMIUM, 2-YEAR, NON STRYKER                                                         </t>
  </si>
  <si>
    <t xml:space="preserve">LIFELINKCENTRAL PREMIUM, 4-YEAR, NON STRYKER                                                         </t>
  </si>
  <si>
    <t xml:space="preserve">LIFELINKCENTRAL PREMIUM, US 8-YEAR                                                                   </t>
  </si>
  <si>
    <t xml:space="preserve">SEXUAL HARRASSMENT TRAINING                                                                          </t>
  </si>
  <si>
    <t xml:space="preserve">ACTIVE SHOOTER TRAINING                                                                              </t>
  </si>
  <si>
    <t xml:space="preserve">ALL IN ONE OSHA/HIPAA PREMIUM PACKAGE                                                                </t>
  </si>
  <si>
    <t xml:space="preserve">ALL IN ONE OSHA/HIPAA PREMIUM RENEWAL                                                                </t>
  </si>
  <si>
    <t xml:space="preserve">OSHA COMPLETE PREMIUM PACKAGE                                                                        </t>
  </si>
  <si>
    <t xml:space="preserve">HIPAA PREMIUM RENEWAL                                                                                </t>
  </si>
  <si>
    <t xml:space="preserve">MIOSHA PACKET                                                                                        </t>
  </si>
  <si>
    <t xml:space="preserve">OSHA MANUAL AND FORMS- CHOICE SELECT                                                                 </t>
  </si>
  <si>
    <t xml:space="preserve">HIPAA MANUAL AND FORMS                                                                               </t>
  </si>
  <si>
    <t xml:space="preserve">DENTAL ENHANCEMENTS-INFINITY RENEWAL REPLACEMENT OSHA GHS MANUAL (NO CHARGE REPLACEMENT)             </t>
  </si>
  <si>
    <t xml:space="preserve">STERILIZATION LOG BOOK                                                                               </t>
  </si>
  <si>
    <t xml:space="preserve">DECAL KIT                                                                                            </t>
  </si>
  <si>
    <t xml:space="preserve">OSHA AND HIPAA CHECKLIST- CHOICE SELECT                                                              </t>
  </si>
  <si>
    <t xml:space="preserve">OSHA/HIPAA TRAINING VIDEO- CHOICE SELECT                                                             </t>
  </si>
  <si>
    <t xml:space="preserve">DENTAL ENHANCEMENTS-2023 HIPAA MANUAL TO OMNIBUS RULE STANDARD-EXISTING CLIENTS ONLY                 </t>
  </si>
  <si>
    <t xml:space="preserve">EXPERT COACHING HOURS                                                                                </t>
  </si>
  <si>
    <t xml:space="preserve">HIPAA OMNIBUS RULE FORM PACKET (SPANISH)                                                             </t>
  </si>
  <si>
    <t xml:space="preserve">DENTAL ENHANCEMENTS-INFINITY RENEWAL REPLACEMENT EMPLOYEE FORMS (NO CHARGE REPLACEMENT)              </t>
  </si>
  <si>
    <t xml:space="preserve">HIPAA OMNIBUS RULE SUBCONTRACTORS AGREEMENT FOR BUSINESS ASSOCIATES                                  </t>
  </si>
  <si>
    <t xml:space="preserve">OSHA MANUAL                                                                                          </t>
  </si>
  <si>
    <t xml:space="preserve">OSHA MANUAL (PACKET)                                                                                 </t>
  </si>
  <si>
    <t xml:space="preserve">R2A HPC WATER TEST,  ADDON SINGLE VIAL                                                               </t>
  </si>
  <si>
    <t xml:space="preserve">EPINEPHRINE INJ. USP, 0.1 mg/mL 1mg per 10mL LUER-JET™ SYR                                           </t>
  </si>
  <si>
    <t xml:space="preserve">YANKAUER SUCTION, TUBE HANDLE STYLE NON-VENTED                                                       </t>
  </si>
  <si>
    <t xml:space="preserve">ADENOSINE INJECTION, USP 6mg/2mL (3mg/mL) 2mL VIAL                                                   </t>
  </si>
  <si>
    <t xml:space="preserve">GHS GUIDEBOOK                                                                                        </t>
  </si>
  <si>
    <t xml:space="preserve">ETOMIDATE INJECTION USP, 20mg/10mL (2mg/mL) 10mL VIAL                                                </t>
  </si>
  <si>
    <t xml:space="preserve">TEXAS HB 300 PACKAGE                                                                                 </t>
  </si>
  <si>
    <t xml:space="preserve">MIOSHA EMANUAL AND FORMS                                                                             </t>
  </si>
  <si>
    <t xml:space="preserve">OSHA PREMIUM RENEWAL                                                                                 </t>
  </si>
  <si>
    <t xml:space="preserve">HIPAA PREMIUM PACKAGE                                                                                </t>
  </si>
  <si>
    <t xml:space="preserve">TEXAS HB RENEWAL                                                                                     </t>
  </si>
  <si>
    <t xml:space="preserve">CCAR 500-R                                                                                           </t>
  </si>
  <si>
    <t xml:space="preserve">CCAR 750-R                                                                                           </t>
  </si>
  <si>
    <t xml:space="preserve">CCAR 1000-R                                                                                          </t>
  </si>
  <si>
    <t xml:space="preserve">CCAR 1100-R                                                                                          </t>
  </si>
  <si>
    <t xml:space="preserve">CCAR 1200-R                                                                                          </t>
  </si>
  <si>
    <t xml:space="preserve">CCAR 1250-R                                                                                          </t>
  </si>
  <si>
    <t xml:space="preserve">CCAR 1300-R                                                                                          </t>
  </si>
  <si>
    <t xml:space="preserve">CCAR 1400-R                                                                                          </t>
  </si>
  <si>
    <t xml:space="preserve">CCAR 1500-R                                                                                          </t>
  </si>
  <si>
    <t xml:space="preserve">CCAR 1600-R                                                                                          </t>
  </si>
  <si>
    <t xml:space="preserve">CCAR 1700-R                                                                                          </t>
  </si>
  <si>
    <t xml:space="preserve">CCAR 1750-R                                                                                          </t>
  </si>
  <si>
    <t xml:space="preserve">CCAR 1900-R                                                                                          </t>
  </si>
  <si>
    <t xml:space="preserve">CCAR 2000-R                                                                                          </t>
  </si>
  <si>
    <t xml:space="preserve">CCAR 1800-R                                                                                          </t>
  </si>
  <si>
    <t xml:space="preserve">CCAR 2200-R                                                                                          </t>
  </si>
  <si>
    <t xml:space="preserve">CCAR 2250-R                                                                                          </t>
  </si>
  <si>
    <t xml:space="preserve">CCAR 2300-R                                                                                          </t>
  </si>
  <si>
    <t xml:space="preserve">CCAR 2400-R                                                                                          </t>
  </si>
  <si>
    <t xml:space="preserve">CCAR 2500-R                                                                                          </t>
  </si>
  <si>
    <t xml:space="preserve">CCAR 2600-R                                                                                          </t>
  </si>
  <si>
    <t xml:space="preserve">CCAR 2700-R                                                                                          </t>
  </si>
  <si>
    <t xml:space="preserve">CCAR 2750-R                                                                                          </t>
  </si>
  <si>
    <t xml:space="preserve">CCAR 2800-R                                                                                          </t>
  </si>
  <si>
    <t xml:space="preserve">CCAR 2900-R                                                                                          </t>
  </si>
  <si>
    <t xml:space="preserve">CCAR 3000-R                                                                                          </t>
  </si>
  <si>
    <t xml:space="preserve">CCAR 3100-R                                                                                          </t>
  </si>
  <si>
    <t xml:space="preserve">CCAR 3200-R                                                                                          </t>
  </si>
  <si>
    <t xml:space="preserve">CCAR 3300-R                                                                                          </t>
  </si>
  <si>
    <t xml:space="preserve">CCAR 3400-R                                                                                          </t>
  </si>
  <si>
    <t xml:space="preserve">CCAR 3250-R                                                                                          </t>
  </si>
  <si>
    <t xml:space="preserve">CCAR 3500-R                                                                                          </t>
  </si>
  <si>
    <t xml:space="preserve">CCAR 1100                                                                                            </t>
  </si>
  <si>
    <t xml:space="preserve">CCAR 1200                                                                                            </t>
  </si>
  <si>
    <t xml:space="preserve">CCAR 1300                                                                                            </t>
  </si>
  <si>
    <t xml:space="preserve">CCAR 1400                                                                                            </t>
  </si>
  <si>
    <t xml:space="preserve">CCAR 1600                                                                                            </t>
  </si>
  <si>
    <t xml:space="preserve">CCAR 1700                                                                                            </t>
  </si>
  <si>
    <t xml:space="preserve">CCAR 1800                                                                                            </t>
  </si>
  <si>
    <t xml:space="preserve">CCAR 1900                                                                                            </t>
  </si>
  <si>
    <t xml:space="preserve">CCAR 2300                                                                                            </t>
  </si>
  <si>
    <t xml:space="preserve">CCAR 2400                                                                                            </t>
  </si>
  <si>
    <t xml:space="preserve">CCAR 2600                                                                                            </t>
  </si>
  <si>
    <t xml:space="preserve">CCAR 2700                                                                                            </t>
  </si>
  <si>
    <t xml:space="preserve">CCAR 2800                                                                                            </t>
  </si>
  <si>
    <t xml:space="preserve">CCAR 2900                                                                                            </t>
  </si>
  <si>
    <t xml:space="preserve">CCAR 3100                                                                                            </t>
  </si>
  <si>
    <t xml:space="preserve">CCAR 3200                                                                                            </t>
  </si>
  <si>
    <t xml:space="preserve">CCAR 3300                                                                                            </t>
  </si>
  <si>
    <t xml:space="preserve">CCAR 3400                                                                                            </t>
  </si>
  <si>
    <t xml:space="preserve">CCAR 2100                                                                                            </t>
  </si>
  <si>
    <t xml:space="preserve">CCAR 2100R                                                                                           </t>
  </si>
  <si>
    <t xml:space="preserve">THIAMINE HYDROCHLORIDE INJ, USP, 200 mg PER 2mL(100mg/mL) 2mL VIAL                                   </t>
  </si>
  <si>
    <t xml:space="preserve">DSO COMPLETE $999                                                                                    </t>
  </si>
  <si>
    <t xml:space="preserve">DSO COMPLETE $799                                                                                    </t>
  </si>
  <si>
    <t xml:space="preserve">DSO COMPLETE $599                                                                                    </t>
  </si>
  <si>
    <t xml:space="preserve">DSO COMPLETE $399                                                                                    </t>
  </si>
  <si>
    <t xml:space="preserve">DSO COMPLETE $299                                                                                    </t>
  </si>
  <si>
    <t xml:space="preserve">DSO COMPLETE RENEWAL $999                                                                            </t>
  </si>
  <si>
    <t xml:space="preserve">DSO COMPLETE RENEWAL $799                                                                            </t>
  </si>
  <si>
    <t xml:space="preserve">DSO COMPLETE RENEWAL $599                                                                            </t>
  </si>
  <si>
    <t xml:space="preserve">DSO COMPLETE RENEWAL $399                                                                            </t>
  </si>
  <si>
    <t xml:space="preserve">DSO COMPLETE RENEWAL $299                                                                            </t>
  </si>
  <si>
    <t xml:space="preserve">HIPAA ONLINE TRAINING RENEWAL                                                                        </t>
  </si>
  <si>
    <t xml:space="preserve">OSHA ONLINE TRAINING VIDEO RENEWAL- CHOICE SELECT                                                    </t>
  </si>
  <si>
    <t xml:space="preserve">FEDERAL HIPAA ONLINE TRAINING VIDEO - CHOICE SELECT                                                  </t>
  </si>
  <si>
    <t xml:space="preserve">OSHA ONLINE TRAINING VIDEO- CHOICE SELECT                                                            </t>
  </si>
  <si>
    <t xml:space="preserve">OSHA/HIPAA ONLINE TRAINING RENEWAL- CHOICE SELECT                                                    </t>
  </si>
  <si>
    <t xml:space="preserve">HEALTHFIRST OSHA/HIPAA COMPLIANCE WORKBOOK-NON-CE IN-OFFICE TRAINING                                 </t>
  </si>
  <si>
    <t xml:space="preserve">HEALTHFIRST OSHAA/HIPAA COMPLIANCE WORKBOOK-CE IN-OFFICE TRAINING                                    </t>
  </si>
  <si>
    <t xml:space="preserve">OSHA COMPLIANCE E-MANUAL                                                                             </t>
  </si>
  <si>
    <t xml:space="preserve">HIPAA COMPLIANCE E-MANUAL                                                                            </t>
  </si>
  <si>
    <t xml:space="preserve">OSHA ONLINE TRAINING AND E-MAUNAL                                                                    </t>
  </si>
  <si>
    <t xml:space="preserve">OSHA ONLINE TRAINING, MANUALS PROMO                                                                  </t>
  </si>
  <si>
    <t xml:space="preserve">OSHA HIPAA BILLING - $41.99                                                                          </t>
  </si>
  <si>
    <t xml:space="preserve">OSHA HIPAA BILLING - $35.99                                                                          </t>
  </si>
  <si>
    <t xml:space="preserve">HIPAA ONLINE TRAINING AND E-MANUAL                                                                   </t>
  </si>
  <si>
    <t xml:space="preserve">HIPAA ONLINE TRAINING AND MANUALS PROMO                                                              </t>
  </si>
  <si>
    <t xml:space="preserve">DSO COMPLETE $899                                                                                    </t>
  </si>
  <si>
    <t xml:space="preserve">DSO COMPLETE $699                                                                                    </t>
  </si>
  <si>
    <t xml:space="preserve">DSO COMPLETE $499                                                                                    </t>
  </si>
  <si>
    <t xml:space="preserve">DSO COMPLETE RENEWAL $899                                                                            </t>
  </si>
  <si>
    <t xml:space="preserve">DSO COMPLETE RENEWAL $699                                                                            </t>
  </si>
  <si>
    <t xml:space="preserve">DSO COMPLETE RENEWAL $499                                                                            </t>
  </si>
  <si>
    <t xml:space="preserve">TEXAS HIPAA HB 300 VIDEO TRAINING                                                                    </t>
  </si>
  <si>
    <t xml:space="preserve">OSHA INTRO VIDEO                                                                                     </t>
  </si>
  <si>
    <t xml:space="preserve">GLOBALLY HARMONIZED SYSTEM (GHS): HAZARD COMMUNICATION SAFETY VIDEO TRAINING (1 CE)                  </t>
  </si>
  <si>
    <t xml:space="preserve">INFECTION CONTROL VIDEO TRAINING FOR DENTAL PROFESSIONALS (2 CE)                                     </t>
  </si>
  <si>
    <t xml:space="preserve">FEDERAL OSHA HEALTH AND SAFETY VIDEO TRAINING (FOR DENTAL PROFESSIONALS) (1 CE)                      </t>
  </si>
  <si>
    <t xml:space="preserve">ADENOSINE INJECTION, USP 12mg PER 4mL (3mg PER mL) 4mL SYR                                           </t>
  </si>
  <si>
    <t xml:space="preserve">NARCAN NALOXONE HCI NASAL SPRAY 4mg/.1mL SINGLE UNBOXED                                              </t>
  </si>
  <si>
    <t xml:space="preserve">NARCAN NALOXONE HCI NASAL SPRAY 4mg/.1mL 2-PACK                                                      </t>
  </si>
  <si>
    <t xml:space="preserve">GHS CHEMICAL LABEL 2.5x2.5" (25 PACK)                                                                </t>
  </si>
  <si>
    <t xml:space="preserve">GHS CHEMICAL LABEL 4x4" (25 PACK)                                                                    </t>
  </si>
  <si>
    <t xml:space="preserve">GHS WALL CHART 9x25"                                                                                 </t>
  </si>
  <si>
    <t xml:space="preserve">BIOHAZARD WARNING LABELS 2x2" (25 PACK)                                                              </t>
  </si>
  <si>
    <t xml:space="preserve">BIOHAZARD WARNING LABELS WATERPROOF 4x4" (25 PACK)                                                   </t>
  </si>
  <si>
    <t xml:space="preserve">FEDERAL LABOR LAW POSTER                                                                             </t>
  </si>
  <si>
    <t xml:space="preserve">EYEWASH PLASTIC SIGN                                                                                 </t>
  </si>
  <si>
    <t xml:space="preserve">MGWS MEDICAL GAS WARNING SIGN                                                                        </t>
  </si>
  <si>
    <t xml:space="preserve">COUGH ETIQUETTE SIGN                                                                                 </t>
  </si>
  <si>
    <t xml:space="preserve">RADIATION CAUTION LABELS (5 PACK)                                                                    </t>
  </si>
  <si>
    <t xml:space="preserve">AED, HEARTSINE 350P BUNDLE                                                                           </t>
  </si>
  <si>
    <t xml:space="preserve">UN-CUFFED ENDOTRACHEAL TUBE W/ STYLET, 3.0                                                           </t>
  </si>
  <si>
    <t xml:space="preserve">CUFFED ENDOTRACHEAL TUBE W/ STYLET, 5.0                                                              </t>
  </si>
  <si>
    <t xml:space="preserve">CUFFED ENDOTRACHEAL TUBE W/ STYLET, 7.0                                                              </t>
  </si>
  <si>
    <t xml:space="preserve">SYRINGE/NEEDLE, LUER LOCK 3CC 20GX1"                                                                 </t>
  </si>
  <si>
    <t xml:space="preserve">STAT KIT Z-1000 MOBILE ACLS EMERGENCY MEDICAL KIT                                                    </t>
  </si>
  <si>
    <t xml:space="preserve">STAT KIT Z-1000 MOBILE ACLS EMERGENCY MEDICAL KIT (MEMBERSHIP)                                       </t>
  </si>
  <si>
    <t xml:space="preserve">CONTENTS CARDS, STAT KIT Z-1000 MOBILE ACLS                                                          </t>
  </si>
  <si>
    <t xml:space="preserve">ALBUTEROL INHALER SPACER                                                                             </t>
  </si>
  <si>
    <t xml:space="preserve">SHARPS, BOX. REPLACEMENT RETURN 1 QT 4PK SHARPS MANAGEMENT                                           </t>
  </si>
  <si>
    <t xml:space="preserve">STAT KIT Z-1000 MOBILE ACLS EMERGENCY MEDICAL KIT ANNUAL MEMBERSHIP                                  </t>
  </si>
  <si>
    <t xml:space="preserve">STAT KIT Z-1000 MOBILE ACLS EMERGENCY MEDICAL KIT QUARTERLY MEMBERSHIP                               </t>
  </si>
  <si>
    <t xml:space="preserve">OSHA-FEDERAL HEALTH AND SAFETY TRAINING VIDEO                                                        </t>
  </si>
  <si>
    <t xml:space="preserve">OSHA-INFECTION CONTROL TRAINING VIDEO                                                                </t>
  </si>
  <si>
    <t xml:space="preserve">OSHA GHS SAFETY TRAINING VIDEO                                                                       </t>
  </si>
  <si>
    <t xml:space="preserve">OSHA TEXAS HB FORMS                                                                                  </t>
  </si>
  <si>
    <t xml:space="preserve">OSHA TEXAS HB TRAINING VIDEO                                                                         </t>
  </si>
  <si>
    <t xml:space="preserve">OSHA CHECKLIST                                                                                       </t>
  </si>
  <si>
    <t xml:space="preserve">HIPAA CHECKLIST                                                                                      </t>
  </si>
  <si>
    <t xml:space="preserve">AMALGAM, REBEC REVOLUTION 200 SEPARATOR                                                              </t>
  </si>
  <si>
    <t xml:space="preserve">CPR MASK WITH ONE WAY VALVE - NON-RX                                                                 </t>
  </si>
  <si>
    <t xml:space="preserve">RAPID CHECK, 24HR WATER TEST- 4 VIAL                                                                 </t>
  </si>
  <si>
    <t xml:space="preserve">RAPID CHECK, 24HR WATER TEST- 6 VIAL                                                                 </t>
  </si>
  <si>
    <t xml:space="preserve">AMALGAM, REBEC REVOLUTION 200+ SEPARATOR                                                             </t>
  </si>
  <si>
    <t xml:space="preserve">CRITIKIT 200-AI EMERGENCY MEDICAL KIT                                                                </t>
  </si>
  <si>
    <t xml:space="preserve">HUMAN TRAFFICKING TRAINING                                                                           </t>
  </si>
  <si>
    <t xml:space="preserve">DEXAMETHASONE SODIUM PHOSPHATE INJECTION, USP 20mg/5mL (4mg/mL) 5mL VIAL                             </t>
  </si>
  <si>
    <t xml:space="preserve">FASTCHECK15: 15 MINUTE IN-OFFICE WATERLINE TESTING                                                   </t>
  </si>
  <si>
    <t xml:space="preserve">LIVESAFER CABINET-EPINEPHRINE, NALOXONE, BLEEDING                                                    </t>
  </si>
  <si>
    <t xml:space="preserve">LIVESAFER CABINET-EPINEPHRINE, NALOXONE, ALBUTEROL                                                   </t>
  </si>
  <si>
    <t xml:space="preserve">LIVESAFER CABINET XL UP TO 7 CASES WITH SPACE FOR AED                                                </t>
  </si>
  <si>
    <t xml:space="preserve">LIVESAFER 5 CABINET-UP TO 5 INNER CASES                                                              </t>
  </si>
  <si>
    <t xml:space="preserve">NALOXONE WALL CABINET, NON-LOCKING WITH DOOR ALARM                                                   </t>
  </si>
  <si>
    <t xml:space="preserve">NALOXONE WALL CABINET, NON-LOCKING, NO ALARM                                                         </t>
  </si>
  <si>
    <t xml:space="preserve">NALOXONE WALL CABINET, LOCKING WITH BREAKABLE WINDOW/HAMMER                                          </t>
  </si>
  <si>
    <t xml:space="preserve">ALLERGY EMERGENCY WALL CABINET-WITH LOCK AND HAMMER                                                  </t>
  </si>
  <si>
    <t xml:space="preserve">ALLERGY EMERGENCY WALL CABINET-NON-LOCKING WITH ALARM                                                </t>
  </si>
  <si>
    <t xml:space="preserve">ALLERGY EMERGENCY WALL CABINET-NON-LOCKING, NO ALARM                                                 </t>
  </si>
  <si>
    <t xml:space="preserve">THRIVE SIGNATURE ALL IN ONE OSHA/HIPAA PACKAGE                                                       </t>
  </si>
  <si>
    <t xml:space="preserve">THRIVE SIGNATURE OSHA/HIPAA ONLINE TRAINING                                                          </t>
  </si>
  <si>
    <t xml:space="preserve">STERISIL, G4 CARTRIDGE REPLACEMENT KIT: STAGES 1, 2 &amp; 3 + UV BULB                                    </t>
  </si>
  <si>
    <t xml:space="preserve">STERISIL, G4 CARTRIDGE REPLACEMENT: STAGE 4 - DEIONIZATION CARTRIDGE                                 </t>
  </si>
  <si>
    <t xml:space="preserve">STERISIL, G4 CARTRIDGE REPLACEMENT: STAGE 5-EPA REGISTERED MICROBIOLOGICAL CARTRIDGE 3,000L CAPACITY </t>
  </si>
  <si>
    <t xml:space="preserve">EDAN IM60GT NIBP 3 CUFFS, SPO2, ECG, CO2, 10.4" TOUCHSCREEN, PRINTER                                 </t>
  </si>
  <si>
    <t xml:space="preserve">EDAN X10 MONITOR NIBP 3 CUFFS, SPO2, ECG, CO2, 10.4" TOUCHSCREEN, PRINTER                            </t>
  </si>
  <si>
    <t xml:space="preserve">EDAN IM70GT NIBP 3 CUFFS, SPO2, ECG, CO2, 12.1" TOUCHSCREEN, PRINTER                                 </t>
  </si>
  <si>
    <t xml:space="preserve">EDAN E10 LARGE ADULT NIBP CUFF, 34-43 CM                                                             </t>
  </si>
  <si>
    <t xml:space="preserve">EDAN E9 ADULT NIBP CUFF, 27-35CM                                                                     </t>
  </si>
  <si>
    <t xml:space="preserve">CO2 SAMPLING NASAL CANNULA, ADULT, SINGLE USE, BOX OF 25                                             </t>
  </si>
  <si>
    <t xml:space="preserve">NASAL CO2 SAMPLING LINE ADULT, SINGLE USE, 25 PACK                                                   </t>
  </si>
  <si>
    <t xml:space="preserve">DENTRODE ROUND SHAPED HIGH PERFORMANCE ECG ELECTRODES, UNIVERSAL SIZE, 30/PACK                       </t>
  </si>
  <si>
    <t xml:space="preserve">EDAN CO2 WATER TRAP                                                                                  </t>
  </si>
  <si>
    <t xml:space="preserve">EDAN ROLL STAND W/BASKET &amp; MOUNTING PLATE FOR IM60, IM70, &amp; X12 MONITORS                             </t>
  </si>
  <si>
    <t xml:space="preserve">EDAN ROLL STAND W/BASKET &amp; MOUNTING PLATE FOR M3, IM3, IM50, X8, &amp; X10 MONITORS                      </t>
  </si>
  <si>
    <t xml:space="preserve">SEDATION STETHOSCOPE AMPLIFIED PRECORDIAL                                                            </t>
  </si>
  <si>
    <t xml:space="preserve">AED, ZOLL SEMI-AUTOMATIC AED PRO / MANUAL UNIT, NO BATTERY, NO ELECTRODES                            </t>
  </si>
  <si>
    <t xml:space="preserve">AED, ZOLL PRO NON-RECHARGEABLE LITHIUM BATTERY PACK                                                  </t>
  </si>
  <si>
    <t xml:space="preserve">SYRINGE, 60CC INFLATION LUER LOCK                                                                    </t>
  </si>
  <si>
    <t xml:space="preserve">PRECORDIAL STETHOSCOPE TUBING W/ EAR PIECE                                                           </t>
  </si>
  <si>
    <t xml:space="preserve">PRECORDIAL STETHOSCOPE KIT-REPLACEMENT                                                               </t>
  </si>
  <si>
    <t xml:space="preserve">WENGER CHEST PIECE-NEWBORN                                                                           </t>
  </si>
  <si>
    <t xml:space="preserve">WENGER CHEST PIECE-INFANT                                                                            </t>
  </si>
  <si>
    <t xml:space="preserve">WENGER CHEST PIECE-CHILD                                                                             </t>
  </si>
  <si>
    <t xml:space="preserve">WENGER CHEST PIECE-ADULT                                                                             </t>
  </si>
  <si>
    <t xml:space="preserve">BERMAN OROPHARYNGEAL AIRWAY SET                                                                      </t>
  </si>
  <si>
    <t xml:space="preserve">KING LTS-D AMBU, PEDIATRIC SIZE 2 SUPRALARYNGEAL AIRWAY TUBE                                         </t>
  </si>
  <si>
    <t xml:space="preserve">KING LTS-D AMBU, SMALL ADULT SIZE 3 SUPRALARYNGEAL AIRWAY TUBE                                       </t>
  </si>
  <si>
    <t xml:space="preserve">KING LTS-D AMBU, REGULAR ADULT SIZE 4 SUPRALARYNGEAL AIRWAY TUBE                                     </t>
  </si>
  <si>
    <t xml:space="preserve">KING LTS-D AMBU, LARGE ADULT SIZE 5 SUPRALARYNGEAL AIRWAY TUBE                                       </t>
  </si>
  <si>
    <t xml:space="preserve">DOUBLE-SIDED CHEST PIECE DISC                                                                        </t>
  </si>
  <si>
    <t xml:space="preserve">FIBER OPTIC LARYNGOSCOPE KIT                                                                         </t>
  </si>
  <si>
    <t xml:space="preserve">STANDARDCHECK, R2A 9215C, PH &amp; TDS MAIL-IN TESTING &amp; ONTRAQ REPORTING - 4 VIAL                       </t>
  </si>
  <si>
    <t xml:space="preserve">STANDARDCHECK, R2A 9215C, PH &amp; TDS MAIL-IN TESTING &amp; ONTRAQ REPORTING - 6 VIAL                       </t>
  </si>
  <si>
    <t xml:space="preserve">STANDARDCHECK, R2A 9215C, PH &amp; TDS MAIL-IN TESTING &amp; ONTRAQ REPORTING - 8 VIAL                       </t>
  </si>
  <si>
    <t xml:space="preserve">STANDARDCHECK, R2A 9215C, PH &amp; TDS MAIL-IN TESTING &amp; ONTRAQ REPORTING - 12 VIAL                      </t>
  </si>
  <si>
    <t xml:space="preserve">STANDARDCHECK, R2A 9215C,  PH &amp; TDS TESTING - ADD-ON VIAL ONLY                                       </t>
  </si>
  <si>
    <t xml:space="preserve">STANDARDCHECK, RE-TEST KIT, R2A 9215C, PH &amp; TDS TESTING &amp; ONTRAQ REPORTING - 1 VIAL                  </t>
  </si>
  <si>
    <t xml:space="preserve">RAPID CHECK, 24HR WATER TEST- 8 VIAL                                                                 </t>
  </si>
  <si>
    <t xml:space="preserve">RAPID CHECK, 24HR WATER TEST- 12 VIAL                                                                </t>
  </si>
  <si>
    <t xml:space="preserve">NARCOTIC DRUG CABINET, BEIGE, DOUBLE LOCKING                                                         </t>
  </si>
  <si>
    <t xml:space="preserve">EDAN X12 MONITOR NIBP 3 CUFFS, SPO2, ECG, CO2, 10.4" TOUCHSCREEN, PRINTER                            </t>
  </si>
  <si>
    <t xml:space="preserve">AUVI-Q® EPINEPHRINE INJECTION, USP 0.1mg AUTO-INJECTOR                                               </t>
  </si>
  <si>
    <t xml:space="preserve">AUVI-Q® EPINEPHRINE INJECTION, USP 0.15mg AUTO INJECTOR                                              </t>
  </si>
  <si>
    <t xml:space="preserve">AUVI-Q® EPINEPHRINE INJECTION, USP 0.3mg AUTO INJECTOR                                               </t>
  </si>
  <si>
    <t xml:space="preserve">AUVI-Q® EPINEPHRINE INJECTION, USP 0.1mg 2PK AUTO INJECTOR                                           </t>
  </si>
  <si>
    <t xml:space="preserve">AUVI-Q® EPINEPHRINE INJECTION, USP 0.15mg 2PK AUTO INJECTOR                                          </t>
  </si>
  <si>
    <t xml:space="preserve">AUVI-Q® EPINEPHRINE INJECTION, USP 0.3mg 2PK AUTO INJECTOR                                           </t>
  </si>
  <si>
    <t xml:space="preserve">ACETAMINOPHEN 325mg 2 TABLETS (2 PACK)                                                               </t>
  </si>
  <si>
    <t xml:space="preserve">ACETAMINOPHEN 500mg 2 TABLETS (2 PACK)                                                               </t>
  </si>
  <si>
    <t xml:space="preserve">AED, DEFIBTECH LIFELINE SEMI-AUTOMATIC STANDARD AED W/ STANDARD 5 YEAR BATTERY                       </t>
  </si>
  <si>
    <t xml:space="preserve">AED, DEFIBTECH ADULT PADS, SINGLE USE 2 YEARS                                                        </t>
  </si>
  <si>
    <t xml:space="preserve">AED, DEFIBTECH PEDIATRIC PADS, SINGLE USE 2 YEARS                                                    </t>
  </si>
  <si>
    <t xml:space="preserve">AED, DEFIBTECH BATTERY W/ STANDARD 9V LITHIUM, 5 YEAR                                                </t>
  </si>
  <si>
    <t xml:space="preserve">AED, DEFIBTECH BATTERY W/ HIGH CAPACITY 9V LITHIUM, 7 YEAR                                           </t>
  </si>
  <si>
    <t xml:space="preserve">AED, DEFIBTECH MEDIUM CAPACITY DATA CARD                                                             </t>
  </si>
  <si>
    <t xml:space="preserve">AED, LIFELINE DEFIBTECH SOFT CARRYING CASE                                                           </t>
  </si>
  <si>
    <t xml:space="preserve">MYCHECK, 4 PADDLE IN-OFFICE WATER TESTS                                                              </t>
  </si>
  <si>
    <t xml:space="preserve">MYCHECK, 12 PADDLE IN-OFFICE WATER TESTS                                                             </t>
  </si>
  <si>
    <t xml:space="preserve">AED, ZOLL AED PRO VINYL CARRY CASE W/SPARE BATTERY COMPARTMENT                                       </t>
  </si>
  <si>
    <t xml:space="preserve">EDAN M3 MONITOR SPO2,ADULT BP, CHILD BP CUFF, LARGE ADULT BP CUFF, PRINTER                           </t>
  </si>
  <si>
    <t xml:space="preserve">AUVI-Q EPINEPHRINE, USP 0.1mg AUTO INJECTOR TRAINER (SINGLE BOXED)                                   </t>
  </si>
  <si>
    <t xml:space="preserve">AUVI-Q EPINEPHRINE, USP 0.15mg &amp; 0.3mg AUTO INJECTOR TRAINER (SINGLE BOXED)                          </t>
  </si>
  <si>
    <t xml:space="preserve">EDAN IM3 MONITOR SPO2, NIBP-SMALL ADULT, REG ADULT AND LARGE ADULT, PRINTER 8" TOUCHSCREEN           </t>
  </si>
  <si>
    <t xml:space="preserve">OSHA AND HIPAA ONLINE TRAINING SELECT - HS PROMO                                                     </t>
  </si>
  <si>
    <t xml:space="preserve">All-IN-ONE OSHA &amp; HIPAA PREMIUM PACKAGE - HS PROMO                                                   </t>
  </si>
  <si>
    <t xml:space="preserve">AUVI-Q® EPINEPHRINE INJECTION, USP 0.1mg AUTO-INJECTOR (MSP CASE OF 24x2PK)                          </t>
  </si>
  <si>
    <t xml:space="preserve">AUVI-Q® EPINEPHRINE INJECTION, USP 0.15mg AUTO INJECTOR (MSP CASE OF 24x2PK)                         </t>
  </si>
  <si>
    <t xml:space="preserve">AUVI-Q® EPINEPHRINE INJECTION, USP 0.3mg 2PK AUTO INJECTOR (MSP CASE OF 24x2PK)                      </t>
  </si>
  <si>
    <t xml:space="preserve">NEEDLE, HYPODERMIC TW, 25G X 1 1/2"                                                                  </t>
  </si>
  <si>
    <t xml:space="preserve">SPORETRAQ MAIL-IN SPORE TESTING SERVICE, 12 TESTS                                                    </t>
  </si>
  <si>
    <t xml:space="preserve">SPORETRAQ MAIL-IN SPORE TESTING SERVICE, 52 TESTS                                                    </t>
  </si>
  <si>
    <t xml:space="preserve">HS FSC PROMO OSHA AND HIPAA ONLINE TRAINING SELECT                                                   </t>
  </si>
  <si>
    <t xml:space="preserve">HEALTHFIRST HIPAA COMPLIANCE WORKBOOK - CE IN-OFFICE TRAINING                                        </t>
  </si>
  <si>
    <t xml:space="preserve">HEALTHFIRST HIPAA COMPLIANCE WORKBOOK - NON-CE IN-OFFICE TRAINING                                    </t>
  </si>
  <si>
    <t xml:space="preserve">COMPLIANCE ADDITIONAL TEAM MEMBERS                                                                   </t>
  </si>
  <si>
    <t xml:space="preserve">HEALTHFIRST OSHA/HIPAA COMPLIANCE WORKBOOK SHIPPING                                                  </t>
  </si>
  <si>
    <t xml:space="preserve">POVIDONE-IODINE, USP PREP PADS 10% (2 PACK)                                                          </t>
  </si>
  <si>
    <t xml:space="preserve">NEEDLE,  HYPODERMIC TW, 22G x 1 1/2"                                                                 </t>
  </si>
  <si>
    <t xml:space="preserve">SYRINGE, GENERAL PURPOSE BD 3ML LUER SLIP W/O NEEDLE                                                 </t>
  </si>
  <si>
    <t xml:space="preserve">SYRINGE, GENERAL PURPOSE BD LUER-LOK 3ML WITHOUT SAFETY                                              </t>
  </si>
  <si>
    <t xml:space="preserve">SCALPEL, STAINLESS STEEL/PLASTIC CLASSIC GRIP HANDLE STERILE DISPOSABLE                              </t>
  </si>
  <si>
    <t xml:space="preserve">3 LEAD 12 PIN ECG CABLE X-SERIES, WITH SNAP LEADWIRES                                                </t>
  </si>
  <si>
    <t xml:space="preserve">EDAN ADULT REUSABLE SPO2 SENSOR X-SERIES (7 PIN) 8FT                                                 </t>
  </si>
  <si>
    <t xml:space="preserve">EDAN ECG CABLE 3 LEAD (12 FT)                                                                        </t>
  </si>
  <si>
    <t xml:space="preserve">EDAN STANDARD ADULT REUSABLE SPO2 SENSOR (8 FT)                                                      </t>
  </si>
  <si>
    <t xml:space="preserve">SYRINGE, LUER LOCK TIP 12ML                                                                          </t>
  </si>
  <si>
    <t xml:space="preserve">RAPID CHECK, 24HR WATER TEST-1 VIAL                                                                  </t>
  </si>
  <si>
    <t xml:space="preserve">THRIVE SIGNATURE START UP ALL IN ONE OSHA/HIPAA PACKAGE                                              </t>
  </si>
  <si>
    <t xml:space="preserve">ANNUAL FEDERAL OSHA &amp; HIPAA CERTIFICATION WEBINAR - CE CREDIT                                        </t>
  </si>
  <si>
    <t xml:space="preserve">ANNUAL FEDERAL OSHA &amp; HIPAA CERTIFICATION WEBINAR - NON-CE CREDIT                                    </t>
  </si>
  <si>
    <t xml:space="preserve">THRIVE SIGNATURE START UP OSHA/HIPAA RENEWAL                                                         </t>
  </si>
  <si>
    <t xml:space="preserve">PROCAINAMIDE HYDROCHLORIDE INJ, USP 100mg/mL 10mL SYR                                                </t>
  </si>
  <si>
    <t xml:space="preserve">STANDARDCHECK, R2A 9215C, PH &amp; TDS TESTING &amp; ONTRAQ REPORTING - 1 VIAL                               </t>
  </si>
  <si>
    <t xml:space="preserve">VIDEO LARYNGOSCOPE DISPOSABLE I-VIEW (2-PACK)                                                        </t>
  </si>
  <si>
    <t xml:space="preserve">AIRWAY, I-GEL SUPRAGLOTTIC, SIZE 2                                                                   </t>
  </si>
  <si>
    <t xml:space="preserve">AIRWAY, I-GEL SUPRAGLOTTIC, SIZE 2.5                                                                 </t>
  </si>
  <si>
    <t xml:space="preserve">AIRWAY, I-GEL SUPRAGLOTTIC, SIZE 3                                                                   </t>
  </si>
  <si>
    <t xml:space="preserve">AIRWAY, I-GEL SUPRAGLOTTIC, SIZE 4                                                                   </t>
  </si>
  <si>
    <t xml:space="preserve">AIRWAY, I-GEL SUPRAGLOTTIC, SIZE 5                                                                   </t>
  </si>
  <si>
    <t xml:space="preserve">ALL-IN-ONE OSHA &amp; HIPAA PREMIUM PACKAGE HS $899 PROMO                                                </t>
  </si>
  <si>
    <t xml:space="preserve">OSHA AND HIPAA ONLINE TRAINING - CHOICE SELECT HS PROMO $399                                         </t>
  </si>
  <si>
    <t xml:space="preserve">SYRINGE/NEEDLE, SAFETY HYPODERMIC SYRINGE W/NEEDLE PREVENT 3CC 22G X 1.5"                            </t>
  </si>
  <si>
    <t xml:space="preserve">NITROGLYCERIN LINGUAL SPRAY 400 mcg PER SPRAY 60 METERED SPRAYS BOXED                                </t>
  </si>
  <si>
    <t xml:space="preserve">NEEDLE W/ SAFETY, SURE SNAP HYPODERMIC, 20G x 1-1/2                                                  </t>
  </si>
  <si>
    <t xml:space="preserve">NEEDLE W/ SAFETY, SURE SNAP HYPODERMIC, 22G x 1-1/2"                                                 </t>
  </si>
  <si>
    <t xml:space="preserve">SIMCHECK, HPC 9215E MAIL-IN TESTING &amp; ONTRAQ REPORTING - 4 VIAL                                      </t>
  </si>
  <si>
    <t xml:space="preserve">SIMCHECK, HPC 9215E MAIL-IN TESTING &amp; ONTRAQ REPORTING - 6 VIAL                                      </t>
  </si>
  <si>
    <t xml:space="preserve">SIMCHECK, HPC 9215E MAIL-IN TESTING &amp; ONTRAQ REPORTING - 8 VIAL                                      </t>
  </si>
  <si>
    <t xml:space="preserve">SIMCHECK,  MAIL-IN TESTING - ADD ON VIAL                                                             </t>
  </si>
  <si>
    <t xml:space="preserve">CONTROLLED SUBSTANCE PROCESSING SERVICE                                                              </t>
  </si>
  <si>
    <t xml:space="preserve">NITROGLYCERIN LINGUAL SPRAY 400 mcg PER SPRAY 60 METERED SPRAYS UNBOXED                              </t>
  </si>
  <si>
    <t xml:space="preserve">STAT KIT SM5 EMERGENCY MEDICAL KIT                                                                   </t>
  </si>
  <si>
    <t xml:space="preserve">STAT KIT SM5 EMERGENCY MEDICAL KIT (MEMBERSHIP)                                                      </t>
  </si>
  <si>
    <t xml:space="preserve">STAT KIT SM5 EMERGENCY MEDICAL KIT ANNUAL MEMBERSHIP                                                 </t>
  </si>
  <si>
    <t xml:space="preserve">HSM STAT KIT 550 EMERGENCY MEDICAL KIT (MEMBERSHIP)                                                  </t>
  </si>
  <si>
    <t xml:space="preserve">HSM STAT KIT 550 EMERGENCY MEDICAL KIT ANNUAL MEMBERSHIP                                             </t>
  </si>
  <si>
    <t xml:space="preserve">HSM STAT KIT 550 EMERGENCY MEDICAL KIT QUARTERLY MEMBERSHIP                                          </t>
  </si>
  <si>
    <t xml:space="preserve">HSM STAT KIT 550-AI EMERGENCY MEDICAL KIT (MEMBERSHIP)                                               </t>
  </si>
  <si>
    <t xml:space="preserve">HSM STAT KIT 550-AI EMERGENCY MEDICAL KIT ANNUAL MEMBERSHIP                                          </t>
  </si>
  <si>
    <t xml:space="preserve">HSM STAT KIT 550-AI EMERGENCY MEDICAL KIT QUARTERLY MEMBERSHIP                                       </t>
  </si>
  <si>
    <t xml:space="preserve">DIPHENHYDRAMINE HCl 25mg CAPLET (2 PACK)                                                             </t>
  </si>
  <si>
    <t xml:space="preserve">CHLORAPREP® SINGLE SWABSTICK 1.75mL                                                                  </t>
  </si>
  <si>
    <t xml:space="preserve">STERISIL® STRAW EVERYDAY VALUE 4 PACK - DISTILLED                                                    </t>
  </si>
  <si>
    <t xml:space="preserve">STERISIL® STRAW EVERYDAY VALUE 4 PACK - MUNICIPAL                                                    </t>
  </si>
  <si>
    <t xml:space="preserve">COMPLIANCE ADDITIONAL TEAM MEMBERS RENEWAL                                                           </t>
  </si>
  <si>
    <t xml:space="preserve">COMPLIANCE ADDITIONAL TEAM MEMBERS (11-30)                                                           </t>
  </si>
  <si>
    <t xml:space="preserve">COMPLIANCE ADDITIONAL TEAM MEMBERS (31+)                                                             </t>
  </si>
  <si>
    <t xml:space="preserve">CCAR ANNUAL MEMBERSHIP INITIAL SALE                                                                  </t>
  </si>
  <si>
    <t xml:space="preserve">CCAR QUARTERLY MEMBERSHIP INITIAL SALE                                                               </t>
  </si>
  <si>
    <t xml:space="preserve">LITEAIRE®, HOLDING CHAMBER, DUAL VALVED                                                              </t>
  </si>
  <si>
    <t xml:space="preserve">CARD, INSTRUCTION BROSELOW EDITION                                                                   </t>
  </si>
  <si>
    <t xml:space="preserve">COMPLIANCE ADDITIONAL TEAM MEMBERS (11-30) RENEWAL                                                   </t>
  </si>
  <si>
    <t xml:space="preserve">COMPLIANCE ADDITIONAL TEAM MEMBERS (31+) RENEWAL                                                     </t>
  </si>
  <si>
    <t xml:space="preserve">EDAN COMPATIBLE PRINTER PAPER 12/PK                                                                  </t>
  </si>
  <si>
    <t xml:space="preserve">EDAN PRINTER PAPER W/ GRID 4/PK                                                                      </t>
  </si>
  <si>
    <t xml:space="preserve">EDAN CX12 MONITOR                                                                                    </t>
  </si>
  <si>
    <t>ADENOSINE</t>
  </si>
  <si>
    <t>ADENOSINE INJECTION, USP 6mg/2mL (3mg/mL) 2mL VIAL</t>
  </si>
  <si>
    <t>ACTIVE</t>
  </si>
  <si>
    <t>63323-651-02</t>
  </si>
  <si>
    <t>3mg/mL</t>
  </si>
  <si>
    <t>2mL</t>
  </si>
  <si>
    <t>DRUG ROOM</t>
  </si>
  <si>
    <t>Not on List</t>
  </si>
  <si>
    <t>ADENOSINE INJECTION, USP 12mg/4mL (3mg/mL) 4mL VIAL</t>
  </si>
  <si>
    <t>63323-651-04</t>
  </si>
  <si>
    <t>4mL</t>
  </si>
  <si>
    <t>ADENOSINE INJECTION, USP 12mg PER 4mL (3mg PER mL) 4mL SYR</t>
  </si>
  <si>
    <t>63323-651-90</t>
  </si>
  <si>
    <t>ALBUTEROL</t>
  </si>
  <si>
    <t>VENTOLIN® HFA (ALBUTEROL SULFATE) 90mcg BOXED</t>
  </si>
  <si>
    <t>0173-0682-24</t>
  </si>
  <si>
    <t>90mcg</t>
  </si>
  <si>
    <t>8gm</t>
  </si>
  <si>
    <t>AMINOPHYLLINE</t>
  </si>
  <si>
    <t>AMINOPHYLLINE INJECTION, USP 250mg (25mg/mL) 10mL VIAL</t>
  </si>
  <si>
    <t>0409-5921-01</t>
  </si>
  <si>
    <t>25mg/mL</t>
  </si>
  <si>
    <t>10mL</t>
  </si>
  <si>
    <t>AMINOPHYLLINE INJ., USP 500mg (25mg/mL) 20mL VIAL</t>
  </si>
  <si>
    <t>0409-5922-01</t>
  </si>
  <si>
    <t>20mL</t>
  </si>
  <si>
    <t>AMIODARONE</t>
  </si>
  <si>
    <t>AMIODARONE HYDROCHLORIDE INJECTION 150mg/3mL (50mg/mL) VIAL</t>
  </si>
  <si>
    <t>0143-9875-25</t>
  </si>
  <si>
    <t>50mg/mL</t>
  </si>
  <si>
    <t>3mL</t>
  </si>
  <si>
    <t>AMIODARONE HYDROCHLORIDE INJECTION 900mg/18mL (50mg/mL) 18mL VIAL</t>
  </si>
  <si>
    <t>67457-0153-18</t>
  </si>
  <si>
    <t>18mL</t>
  </si>
  <si>
    <t>NEXTERONE (AMIODARONE HCI) PREMIXED INJECTION 360mg/200mL (1.8mg/mL) 200mL BAG</t>
  </si>
  <si>
    <t>43066-360-20</t>
  </si>
  <si>
    <t>1.8mg/mL</t>
  </si>
  <si>
    <t>200mL</t>
  </si>
  <si>
    <t>ASPIRIN</t>
  </si>
  <si>
    <t>ASPIRIN (NSAID) 325mg 2 TABLET (2 PACKS)</t>
  </si>
  <si>
    <t>RESTRICTED</t>
  </si>
  <si>
    <t>0924-0104-01</t>
  </si>
  <si>
    <t>325mg</t>
  </si>
  <si>
    <t>2 tablets</t>
  </si>
  <si>
    <t>ASPIRIN LOW DOSE CHEWABLE ORANGE PAIN RELIEVER (NSAID) 81mg 90/bt</t>
  </si>
  <si>
    <t>0904-6794-89</t>
  </si>
  <si>
    <t>81mg</t>
  </si>
  <si>
    <t>TAB</t>
  </si>
  <si>
    <t>ASPIRIN (NSAID) 325mg EACH 100 TABLETS</t>
  </si>
  <si>
    <t>0536-1054-29</t>
  </si>
  <si>
    <t>325 mg</t>
  </si>
  <si>
    <t>100 TABLETS</t>
  </si>
  <si>
    <t>ATROPINE</t>
  </si>
  <si>
    <t>ATROPINE SULFATE INJECTION, USP 0.4mg/mL 1mL VIAL</t>
  </si>
  <si>
    <t>0517-1004-25</t>
  </si>
  <si>
    <t>0.4mg/mL</t>
  </si>
  <si>
    <t>1mL</t>
  </si>
  <si>
    <t>ATROPINE SULFATE INJECTION, USP 1mg/mL 1mL VIAL</t>
  </si>
  <si>
    <t>0517-1001-25</t>
  </si>
  <si>
    <t>1mg/mL</t>
  </si>
  <si>
    <t>ATROPINE SULFATE INJECTION, USP 8mg/20mL (0.4mg/mL) 20mL VIAL</t>
  </si>
  <si>
    <t>0641-6251-10</t>
  </si>
  <si>
    <t>0.4 mg/mL</t>
  </si>
  <si>
    <t>ATROPINE SULFATE INJECTION, USP 1mg/10mL (0.1mg/mL) 10mL SYR</t>
  </si>
  <si>
    <t>76329-3340-1</t>
  </si>
  <si>
    <t>0.1mg/mL</t>
  </si>
  <si>
    <t>BUPIVACAINE/MARCAINE/SENSORCAINE</t>
  </si>
  <si>
    <t>SENSORCAINE(R) (BUPIVACAINE HCI AND EPINEPHRINE INJECTION, USP) WITH EPINEPHRINE 1:200,000 (AS BITARTRATE) 0.25% 125mg per 50mL (2.5mg per mL) 50mL VIAL</t>
  </si>
  <si>
    <t>63323-461-57</t>
  </si>
  <si>
    <t>2.5mg/mL</t>
  </si>
  <si>
    <t>50mL</t>
  </si>
  <si>
    <t>0.5% BUPIVACAINE HYDROCHLORIDE INJECTION, USP (5 mg/mL) 50 mL MDV</t>
  </si>
  <si>
    <t>0409-1163-01</t>
  </si>
  <si>
    <t>5mg/mL</t>
  </si>
  <si>
    <t>50 mL</t>
  </si>
  <si>
    <t>SENSORCAINE(R) (BUPIVACAINE HCI AND EPINEPHRINE INJECTION, USP) WITH EPINEPHRINE 1:200,000 (AS BITARTRATE) 0.5% 250mg per 50mL (5mg per mL) 50mL VIAL</t>
  </si>
  <si>
    <t>63323-463-57</t>
  </si>
  <si>
    <t>CALCIUM CHLORIDE</t>
  </si>
  <si>
    <t>10% CALCIUM CHLORIDE INJECTION, USP 1 g/10 mL (100 mg/ mL) (1.4 mEq/mL) LUER-JET™ SYR</t>
  </si>
  <si>
    <t>76329-3304-1</t>
  </si>
  <si>
    <t>100 mg/1 mL</t>
  </si>
  <si>
    <t>10 mL</t>
  </si>
  <si>
    <t>10% CALCIUM CHLORIDE INJECTION, USP 1000mg/10mL (100mg/mL) SYR</t>
  </si>
  <si>
    <t>0409-1631-10</t>
  </si>
  <si>
    <t>100mg/mL</t>
  </si>
  <si>
    <t>CALCIUM GLUCONATE</t>
  </si>
  <si>
    <t>CALCIUM GLUCONATE INJECTION, USP 10% 1,000 mg per 10mL  (100mg/mL) 10mL VIAL</t>
  </si>
  <si>
    <t>63323-360-19</t>
  </si>
  <si>
    <t>CHLORAPREP</t>
  </si>
  <si>
    <t>CHLORAPREP® SINGLE SWABSTICK 1.75mL</t>
  </si>
  <si>
    <t>54365-401-28</t>
  </si>
  <si>
    <t>1.75mL</t>
  </si>
  <si>
    <t>Swabstick</t>
  </si>
  <si>
    <t>DEXAMETHASONE</t>
  </si>
  <si>
    <t>DEXAMETHASONE SODIUM PHOSPHATE INJECTION, USP 10mg/mL 1mL VIAL</t>
  </si>
  <si>
    <t>0641-0367-25</t>
  </si>
  <si>
    <t>10mg/mL</t>
  </si>
  <si>
    <t>1 mL</t>
  </si>
  <si>
    <t>DEXAMETHASONE SODIUM PHOSPHATE INJECTION USP 100mg PER 10mL(10mg/mL*) 10mL VIAL</t>
  </si>
  <si>
    <t>55150-305-10</t>
  </si>
  <si>
    <t>DEXAMETHASONE SODIUM PHOSPHATE INJECTION, USP 20mg/5mL (4mg/mL) 5mL VIAL</t>
  </si>
  <si>
    <t>0641-6146-10</t>
  </si>
  <si>
    <t>4mg/mL</t>
  </si>
  <si>
    <t>5mL</t>
  </si>
  <si>
    <t>DEXTROSE</t>
  </si>
  <si>
    <t>INFANT 25% DEXTROSE INJECTION, USP 2.5g (250mg/mL) ANSYR SYR</t>
  </si>
  <si>
    <t>0409-1775-10</t>
  </si>
  <si>
    <t>250mg/mL</t>
  </si>
  <si>
    <t>50% DEXTROSE INJECTION, USP 25grams/50mL (0.5g/mL) VIAL</t>
  </si>
  <si>
    <t>0409-6648-02</t>
  </si>
  <si>
    <t>0.5g/mL</t>
  </si>
  <si>
    <t>50% DEXTROSE INJECTION, USP 25g/50mL (0.5 g/mL) 50mL LUER-JET™ SYR</t>
  </si>
  <si>
    <t>76329-3302-1</t>
  </si>
  <si>
    <t>0.5 g/mL</t>
  </si>
  <si>
    <t>5% DEXTROSE INJECTION, USP 250mL BAG</t>
  </si>
  <si>
    <t>0990-7922-02</t>
  </si>
  <si>
    <t>250mL</t>
  </si>
  <si>
    <t>DIGOXIN</t>
  </si>
  <si>
    <t>DIGOXIN INJECTION, USP 500mcg/2mL 0.5/2mL (250mcg/mL) AMP</t>
  </si>
  <si>
    <t>0641-1410-35</t>
  </si>
  <si>
    <t>0.25mg/mL</t>
  </si>
  <si>
    <t>DILTIAZEM</t>
  </si>
  <si>
    <t>DILTIAZEM HCI INJECTION 25mg/5mL (5 mg/mL) 5mL VIAL</t>
  </si>
  <si>
    <t>0641-6013-10</t>
  </si>
  <si>
    <t>25mg/5mL (5 mg/mL</t>
  </si>
  <si>
    <t>REFRIGERATED</t>
  </si>
  <si>
    <t>DILTIAZEM HCI FOR INJECTION 100mg/VIAL DILTIAZEM HCl VIAL</t>
  </si>
  <si>
    <t>0409-4350-03</t>
  </si>
  <si>
    <t>100mg/1</t>
  </si>
  <si>
    <t>15mL</t>
  </si>
  <si>
    <t>DIPHENHYDRAMINE</t>
  </si>
  <si>
    <t>DIPHENHYDRAMINE HCI INJECTION, USP 50mg/mL 1mL VIAL</t>
  </si>
  <si>
    <t>0641-0376-25</t>
  </si>
  <si>
    <t>DIPHENHYDRAMINE HCl 25mg CAPLET (2 PACK)</t>
  </si>
  <si>
    <t>47682-167-47</t>
  </si>
  <si>
    <t>25 mg/1</t>
  </si>
  <si>
    <t>1 caplet</t>
  </si>
  <si>
    <t>DOBUTAMINE</t>
  </si>
  <si>
    <t>DOBUTAMINE INJECTION, USP 250mg PER 20mL VIAL</t>
  </si>
  <si>
    <t>0409-2344-02</t>
  </si>
  <si>
    <t>250mg PER 20mL</t>
  </si>
  <si>
    <t>DOBUTAMINE HYDROCHLORIDE IN 5% DEXTROSE INJECTION, 250mg PER 250mL (1,000 mcg/mL) 250mL BAG</t>
  </si>
  <si>
    <t>0338-1073-02</t>
  </si>
  <si>
    <t>1,000mcg/mL</t>
  </si>
  <si>
    <t>DOBUTAMINE IN 5% DEXTROSE INJECTION, USP 500mg 250mL BAG</t>
  </si>
  <si>
    <t>0409-2347-32</t>
  </si>
  <si>
    <t>2,000mcg/mL</t>
  </si>
  <si>
    <t>DOPAMINE</t>
  </si>
  <si>
    <t>DOPAMINE HCI INJ., USP 200mg (40 mg/mL) 5mL VIAL</t>
  </si>
  <si>
    <t>0409-5820-01</t>
  </si>
  <si>
    <t>40mg/mL</t>
  </si>
  <si>
    <t>DOPAMINE HCI INJ., USP 400mg (40mg/mL) 10mL VIAL</t>
  </si>
  <si>
    <t>0409-9104-20</t>
  </si>
  <si>
    <t>DOPAMINE HYDROCHLORIDE INJECTION, USP 400mg/10mL (40mg/mL) 10mL VIAL</t>
  </si>
  <si>
    <t>0143-9254-25</t>
  </si>
  <si>
    <t>DOPAMINE HYDROCHLORIDE IN 5% DEXTROSE INJECTION, USP 400mg 250mL BAG</t>
  </si>
  <si>
    <t>0409-7809-22</t>
  </si>
  <si>
    <t>400mg</t>
  </si>
  <si>
    <t>DOPAMINE HCI IN 5% DEXTROSE INJECTION, USP 800mg/500mL (1,600mcg/mL) 500mL BAG</t>
  </si>
  <si>
    <t>0409-7809-24</t>
  </si>
  <si>
    <t>1600mcg/mL</t>
  </si>
  <si>
    <t>500mL</t>
  </si>
  <si>
    <t>DOXYCYCLINE</t>
  </si>
  <si>
    <t>DOXY 100™ DOXYCYCLINE FOR INJECTION, USP 100mg per VIAL 20mL VIAL</t>
  </si>
  <si>
    <t>63323-130-11</t>
  </si>
  <si>
    <t>100mg</t>
  </si>
  <si>
    <t>ENALAPRILAT</t>
  </si>
  <si>
    <t>ENALAPRILAT INJECTION 1.25mg/mL 1mL VIAL</t>
  </si>
  <si>
    <t>0143-9787-10</t>
  </si>
  <si>
    <t>1.25mg/mL</t>
  </si>
  <si>
    <t>EPHEDRINE</t>
  </si>
  <si>
    <t>EPHEDRINE SULFATE INJECTIONS, USP 50 mg/mL 1mL VIAL</t>
  </si>
  <si>
    <t>42023-216-25</t>
  </si>
  <si>
    <t>50 mg/mL</t>
  </si>
  <si>
    <t>SAFE- CONTROLLED</t>
  </si>
  <si>
    <t>Lethal Injection Drug</t>
  </si>
  <si>
    <t>EPINEPHRINE</t>
  </si>
  <si>
    <t>AUVI-Q® EPINEPHRINE INJECTION, USP 0.15mg AUTO INJECTOR</t>
  </si>
  <si>
    <t>60842-022-02</t>
  </si>
  <si>
    <t>.15mg/.15mL</t>
  </si>
  <si>
    <t>0.76mL</t>
  </si>
  <si>
    <t>AUVI-Q® EPINEPHRINE INJECTION, USP 0.3mg AUTO INJECTOR</t>
  </si>
  <si>
    <t>60842-023-02</t>
  </si>
  <si>
    <t>.3mg/.3mL</t>
  </si>
  <si>
    <t>ADRENALIN® (EPINEPHRINE INJECTION, USP) 1mg/mL 1:1000 VIAL</t>
  </si>
  <si>
    <t>42023-159-25</t>
  </si>
  <si>
    <t>1mg/mL 1:1000</t>
  </si>
  <si>
    <t>EPINEPHRINE INJ. USP, 0.1 mg/mL 1mg per 10mL LUER-JET™ SYR</t>
  </si>
  <si>
    <t>76329-3318-1</t>
  </si>
  <si>
    <t>0.1 mg/mL</t>
  </si>
  <si>
    <t>ETOMIDATE/AMIDATE</t>
  </si>
  <si>
    <t>ETOMIDATE INJECTION USP, 20mg/10mL (2mg/mL) 10mL VIAL</t>
  </si>
  <si>
    <t>55150-221-10</t>
  </si>
  <si>
    <t>20mg/10mL</t>
  </si>
  <si>
    <t>ETOMIDATE INJECTION, USP 40mg PER 20mL (2mg/mL) 20mL VIAL</t>
  </si>
  <si>
    <t>55150-222-20</t>
  </si>
  <si>
    <t>2mg/mL</t>
  </si>
  <si>
    <t>FAMOTIDINE</t>
  </si>
  <si>
    <t>FAMOTIDINE INJECTION, USP 20 mg/2mL 2mL VIAL</t>
  </si>
  <si>
    <t>63323-739-12</t>
  </si>
  <si>
    <t>FLUMAZENIL/ROMAZICON</t>
  </si>
  <si>
    <t>FLUMAZENIL INJECTION, USP 0.5mg/5mL (0.1mg/mL) VIAL</t>
  </si>
  <si>
    <t>0143-9784-10</t>
  </si>
  <si>
    <t>FLUMAZENIL INJECTION, USP 1mg/10mL (0.1 mg/mL) VIAL</t>
  </si>
  <si>
    <t>0143-9783-10</t>
  </si>
  <si>
    <t>FUROSEMIDE/LASIX</t>
  </si>
  <si>
    <t>FUROSEMIDE INJECTION, USP 20mg PER 2mL (10mg PER mL) 2mL VIAL</t>
  </si>
  <si>
    <t>63323-280-02</t>
  </si>
  <si>
    <t>FUROSEMIDE INJECTION, USP 40mg PER 4mL (10mg PER mL) 4mL VIAL</t>
  </si>
  <si>
    <t>63323-280-04</t>
  </si>
  <si>
    <t>FUROSEMIDE INJECTION, USP 100mg PER 10mL (10mg PER mL) 10mL VIAL</t>
  </si>
  <si>
    <t>63323-280-10</t>
  </si>
  <si>
    <t>GLUCOSE</t>
  </si>
  <si>
    <t>GLYCOPYRROLATE/ROBINUL</t>
  </si>
  <si>
    <t>GLYCOPYRROLATE INJECTION, USP 0.2mg/mL CONTAINS BENZYL ALCOHOL 1mL VIAL</t>
  </si>
  <si>
    <t>0143-9682-25</t>
  </si>
  <si>
    <t>0.2mg/mL</t>
  </si>
  <si>
    <t>GLYCOPYRROLATE INJECTION, USP 1mg/5mL (0.2mg/mL) 5mL VIAL</t>
  </si>
  <si>
    <t>0143-9680-25</t>
  </si>
  <si>
    <t>HETASTARCH</t>
  </si>
  <si>
    <t>6% HETASTARCH IN 0.9% SODIUM CHLORIDE INJECTION 500mL BAG</t>
  </si>
  <si>
    <t>0409-7248-03</t>
  </si>
  <si>
    <t>9mg/mL ;6%</t>
  </si>
  <si>
    <t>HEPARIN</t>
  </si>
  <si>
    <t>HEPARIN SODIUM INJECTION, USP 10,000 USP UNITS/mL 1mL VIAL</t>
  </si>
  <si>
    <t>0409-2721-01</t>
  </si>
  <si>
    <t>10,000usp per mL</t>
  </si>
  <si>
    <t>HEPARIN SODIUM INJECTION, USP 50,000 USP UNITS PER 5mL (10,000 USP UNITS per mL) 5mL VIAL</t>
  </si>
  <si>
    <t>63323-542-14</t>
  </si>
  <si>
    <t>10,000u/mL</t>
  </si>
  <si>
    <t>HEPARIN SODIUM IN 0.45% SODIUM CHLORIDE INJECTION (100 USP UNITS/mL) 250 mL</t>
  </si>
  <si>
    <t>0409-7650-62</t>
  </si>
  <si>
    <t>100 USP UNITS/mL)</t>
  </si>
  <si>
    <t>250 mL</t>
  </si>
  <si>
    <t>HYDRALAZINE/APRESOLINE</t>
  </si>
  <si>
    <t>HYDRALAZINE HYDROCHLORIDE INJECTION, USP 20mg per mL 1mL VIAL</t>
  </si>
  <si>
    <t>63323-614-01</t>
  </si>
  <si>
    <t>20mg/mL</t>
  </si>
  <si>
    <t>HYDROCORTISONE/ SOLU-CORTEF</t>
  </si>
  <si>
    <t>SOLU-CORTEF® 100mg 2mL ACT-O-VIAL®</t>
  </si>
  <si>
    <t>0009-0011-04</t>
  </si>
  <si>
    <t>100mg/2mL</t>
  </si>
  <si>
    <t>SOLU-CORTEF® 250mg 2mL ACT-O-VIAL®</t>
  </si>
  <si>
    <t>0009-0013-06</t>
  </si>
  <si>
    <t>250mg</t>
  </si>
  <si>
    <t>HYALURONIDASE</t>
  </si>
  <si>
    <t>HYLENEX® RECOMBINANT 1mL (HYALURONIDASE HUMAN INJECTION) 150 USP UNITS/mL 1mL VIAL</t>
  </si>
  <si>
    <t>18657-117-04</t>
  </si>
  <si>
    <t>150 USP Units/mL</t>
  </si>
  <si>
    <t>KETOROLAC TROMETHAMINE/TORADOL</t>
  </si>
  <si>
    <t>KETOROLAC TROMETHAMINE INJ., USP 30mg/mL 1mL VIAL</t>
  </si>
  <si>
    <t>0409-3795-01</t>
  </si>
  <si>
    <t>30mg/mL</t>
  </si>
  <si>
    <t>KETOROLAC TROMETHAMINE INJ., USP 60mg/2mL (30mg/mL) 2mL VIAL</t>
  </si>
  <si>
    <t>0409-3796-01</t>
  </si>
  <si>
    <t>60mg/2mL</t>
  </si>
  <si>
    <t>LABETALOL / METOPROLOL/PROPANOLOL/ESMOLOL</t>
  </si>
  <si>
    <t>ESMOLOL HYDROCHLORIDE INJECTION 100mg per 10mL (10mg/mL) 10mL VIAL</t>
  </si>
  <si>
    <t>55150-194-10</t>
  </si>
  <si>
    <t>LABETALOL HCl INJECTION, USP 100mg/20mL (5mg/mL) 20mL VIAL BOXED</t>
  </si>
  <si>
    <t>0143-9622-01</t>
  </si>
  <si>
    <t>METOPROLOL TARTRATE INJECTION, USP 5mg/5mL (1mg PER mL) 5mL VIAL</t>
  </si>
  <si>
    <t>0409-1778-05</t>
  </si>
  <si>
    <t>PROPRANOLOL HYDROCHLORIDE INJECTION, USP 1mg/mL 1mL VIAL</t>
  </si>
  <si>
    <t>0143-9872-10</t>
  </si>
  <si>
    <t>LACTATED RINGER'S</t>
  </si>
  <si>
    <t>LACTATED RINGER'S AND 5% DEXTROSE INJECTION, USP 1000mL BAG</t>
  </si>
  <si>
    <t>0990-7929-09</t>
  </si>
  <si>
    <t>600mg/100mL</t>
  </si>
  <si>
    <t>1000mL</t>
  </si>
  <si>
    <t>LACTATED RINGER'S INJECTION, USP 1000mL BAG</t>
  </si>
  <si>
    <t>0990-7953-09</t>
  </si>
  <si>
    <t>LIDOCAINE/XYLOCAINE/LIGNOCAINE</t>
  </si>
  <si>
    <t>LIDOCAINE HCI INJECTION, USP 2% (1000mg/50mL) (20mg/mL) 50 mL VIAL</t>
  </si>
  <si>
    <t>0143-9575-10</t>
  </si>
  <si>
    <t>20 mg/mL</t>
  </si>
  <si>
    <t>LIDOCAINE HCl INJECTION, USP 1% (50mg/5mL) (10mg/mL) 5 mL VIAL</t>
  </si>
  <si>
    <t>0143-9595-25</t>
  </si>
  <si>
    <t>XYLOCAINE® (LIDOCAINE HCl &amp; EPI INJ, USP) W/ EPI 1:100,000 1% 200mg/20mL (10mg/mL) 20mL VIAL</t>
  </si>
  <si>
    <t>63323-482-27</t>
  </si>
  <si>
    <t>XYLOCAINE(R) (LIDOCAINE HCI AND EPINEPHRINE INJECTION, USP) WITH EPINEPHRINE 1:100,000 2% 400mg PER 20mL (20mg PER mL) 20mL VIAL</t>
  </si>
  <si>
    <t>63323-483-27</t>
  </si>
  <si>
    <t>2% &amp;1:100,000</t>
  </si>
  <si>
    <t>LIDOCAINE HCI INJ., USP, 2% 100 mg per 5 mL 100 mg LUER-JET™ SYR</t>
  </si>
  <si>
    <t>76329-3390-1</t>
  </si>
  <si>
    <t>20 mg/1 mL</t>
  </si>
  <si>
    <t>5 mL</t>
  </si>
  <si>
    <t>LIDOCAINE HCI JELLY, USP, 2%, 100mg URO-JET</t>
  </si>
  <si>
    <t>76329-3012-5</t>
  </si>
  <si>
    <t>LIDOCAINE HCI AND 5% DEXTROSE INJECTION USP 2g (4mg/mL) 500mL BAG</t>
  </si>
  <si>
    <t>0338-0409-03</t>
  </si>
  <si>
    <t>2g (4mg/mL)</t>
  </si>
  <si>
    <t>MAGNESIUM SULFATE</t>
  </si>
  <si>
    <t>MAGNESIUM SULFATE INJECTION, USP 50% 1gram per 2mL (500mg per mL) 2mL VIAL</t>
  </si>
  <si>
    <t>63323-064-03</t>
  </si>
  <si>
    <t>500mg/mL</t>
  </si>
  <si>
    <t>MAGNESIUM SULFATE INJECTION, USP 50% 5 grams per 10mL (500 mg per mL) 10mL VIAL</t>
  </si>
  <si>
    <t>63323-064-11</t>
  </si>
  <si>
    <t>500 mg per mL</t>
  </si>
  <si>
    <t>MAGNESIUM SULFATE IN WATER FOR INJECTION (0.325 mEq Mg"/mL) 40mg/mL 2g TOTAL 50mL BAG</t>
  </si>
  <si>
    <t>0409-6729-24</t>
  </si>
  <si>
    <t>50% MAGNESIUM SULFATE INJECTION, USP 5grams/10mL ANSYR SYR</t>
  </si>
  <si>
    <t>0409-1754-10</t>
  </si>
  <si>
    <t>5grams/10mL</t>
  </si>
  <si>
    <t>MANNITOL</t>
  </si>
  <si>
    <t>25% MANNITOL INJECTION, USP 12.5g/50mL (250mg/mL) 50mL VIAL</t>
  </si>
  <si>
    <t>0409-4031-01</t>
  </si>
  <si>
    <t>METHYLPREDNISOLONE/ SOLU-MEDROL</t>
  </si>
  <si>
    <t>SOLU-MEDROL® 40MG PER VIAL 1mL ACT-O-VIAL®</t>
  </si>
  <si>
    <t>0009-0039-28</t>
  </si>
  <si>
    <t>40mg</t>
  </si>
  <si>
    <t>SOLU-MEDROL® 125MG PER VIAL 2mL ACT-O-VIAL®</t>
  </si>
  <si>
    <t>0009-0047-22</t>
  </si>
  <si>
    <t>125mg</t>
  </si>
  <si>
    <t>METOCLOPRAMIDE</t>
  </si>
  <si>
    <t>METOCLOPRAMIDE INJECTION, USP 10mg/2mL (5mg/mL) 2mL VIAL</t>
  </si>
  <si>
    <t>0409-3414-11</t>
  </si>
  <si>
    <t>NALBUPHINE/NUBAIN</t>
  </si>
  <si>
    <t>NALBUPHINE HCI INJ. 10mg/mL 10mL VIAL</t>
  </si>
  <si>
    <t>0409-1464-01</t>
  </si>
  <si>
    <t>NALOXONE</t>
  </si>
  <si>
    <t>NALOXONE HCl INJECTION, USP 0.4mg/mL 1mL VIAL</t>
  </si>
  <si>
    <t>0641-6132-25</t>
  </si>
  <si>
    <t>NALOXONE HYDROCHLORIDE INJECTION, USP 0.4mg/mL 10mL VIAL</t>
  </si>
  <si>
    <t>0409-1219-01</t>
  </si>
  <si>
    <t>NALOXONE HYDROCHLORIDE INJECTION, USP 2mg PER 2mL (1mg/mL) 2mL SYR</t>
  </si>
  <si>
    <t>55150-345-10</t>
  </si>
  <si>
    <t>NARCAN NALOXONE HCI NASAL SPRAY 4mg/.1mL 2-PACK</t>
  </si>
  <si>
    <t>69547-627-02</t>
  </si>
  <si>
    <t>4mg/.1mL</t>
  </si>
  <si>
    <t>0.1mL</t>
  </si>
  <si>
    <t>NICARDIPINE/ CARDENE</t>
  </si>
  <si>
    <t>NICARDIPINE HYDROCHLORIDE INJECTION 25mg/10mL (2.5 mg/mL) 10mL VIAL</t>
  </si>
  <si>
    <t>0143-9689-10</t>
  </si>
  <si>
    <t>NITROGLYCERIN</t>
  </si>
  <si>
    <t>NITROGLYCERIN INJECTION, USP 50mg/10mL (5mg/mL) 10mL VIAL</t>
  </si>
  <si>
    <t>0517-4810-25</t>
  </si>
  <si>
    <t>NITROGLYCERIN LINGUAL SPRAY 400 mcg PER SPRAY 60 METERED SPRAYS BOXED</t>
  </si>
  <si>
    <t>66993-241-50</t>
  </si>
  <si>
    <t>400mcg per spray</t>
  </si>
  <si>
    <t>4.9g</t>
  </si>
  <si>
    <t>NITROGLYCERIN SUBLINGUAL TABLETS, USP 0.4mg/TABLET 25TABS</t>
  </si>
  <si>
    <t>43598-436-11</t>
  </si>
  <si>
    <t>0.4mg/tablets</t>
  </si>
  <si>
    <t>25 tablets</t>
  </si>
  <si>
    <t>NOREPINEPHRINE / LEVOPHED</t>
  </si>
  <si>
    <t>NOREPINEPHRINE BITARTRATE INJECTION, USP 4mg PER 4mL (1 mg/mL) 4mL VIAL</t>
  </si>
  <si>
    <t>0143-9318-10</t>
  </si>
  <si>
    <t>ONDANSETRON</t>
  </si>
  <si>
    <t>ONDANSETRON INJECTION, USP 4mg/2mL (2mg/mL) VIAL</t>
  </si>
  <si>
    <t>0641-6078-25</t>
  </si>
  <si>
    <t>PHENYLEPHRINE</t>
  </si>
  <si>
    <t>PHENYLEPHRINE HCI INJECTION, USP 10mg/mL 1mL VIAL</t>
  </si>
  <si>
    <t>0641-6142-25</t>
  </si>
  <si>
    <t>PHENYTOIN/DILANTIN</t>
  </si>
  <si>
    <t>PHENYTOIN SODIUM INJ., USP 100mg/2mL (50mg/mL) VIAL</t>
  </si>
  <si>
    <t>0641-0493-25</t>
  </si>
  <si>
    <t>POTASSIUM CHLORIDE FOR INJECTION CONCENTRATE, USP 20 mEq/10mL (2 mEq/mL)</t>
  </si>
  <si>
    <t>0409-6651-06</t>
  </si>
  <si>
    <t>2 mEq/mL</t>
  </si>
  <si>
    <t>PROCAINAMIDE</t>
  </si>
  <si>
    <t>PROCAINAMIDE HYDROCHLORIDE INJ, USP 100mg/mL 10mL SYR</t>
  </si>
  <si>
    <t>76329-3399-5</t>
  </si>
  <si>
    <t>PROMETHAZINE/PROMETHEGAN/PHENERGAN</t>
  </si>
  <si>
    <t>PROMETHAZINE HCI INJECTION, USP 50mg/mL 1mL AMPULE</t>
  </si>
  <si>
    <t>0641-1496-35</t>
  </si>
  <si>
    <t>PROMETHAZINE HCI INJECTION, USP 25mg/mL 1mL VIAL</t>
  </si>
  <si>
    <t>0641-0928-25</t>
  </si>
  <si>
    <t>PROPOFOL/ DIPRIVAN</t>
  </si>
  <si>
    <t>PROPOFOL INJECTABLE EMULSION 500mg/50mL (10mg/mL) 50mL VIAL</t>
  </si>
  <si>
    <t>0409-4699-33</t>
  </si>
  <si>
    <t>PROPOFOL INJECTABLE EMULSION 1g/100mL (10mg/mL) 100mL VIAL</t>
  </si>
  <si>
    <t>0409-4699-24</t>
  </si>
  <si>
    <t>100mL</t>
  </si>
  <si>
    <t>SODIUM BICARBONATE</t>
  </si>
  <si>
    <t>SODIUM BICARBONATE INJECTION USP, 8.4% 50mEq/50mL (1mEq/mL) 50mL VIAL</t>
  </si>
  <si>
    <t>0409-6625-14</t>
  </si>
  <si>
    <t>1mEq/mL</t>
  </si>
  <si>
    <t>4.2% SODIUM BICARBONATE INJECTION, USP 5mEq/10mL (0.5 mEq/mL) 10mL SYR</t>
  </si>
  <si>
    <t>0409-5534-14</t>
  </si>
  <si>
    <t>0.5 mEq/mL</t>
  </si>
  <si>
    <t>SODIUM BICARBONATE INJECTION USP, 8.4% 50 mEq/50 mL (1 mEq/mL) LUER-JET™ SYR</t>
  </si>
  <si>
    <t>76329-3352-1</t>
  </si>
  <si>
    <t>84mg/1mL</t>
  </si>
  <si>
    <t>SODIUM CHLORIDE</t>
  </si>
  <si>
    <t>0.9% SODIUM CHLORIDE INJECTION USP ZR(TM) 10mL SYR</t>
  </si>
  <si>
    <t>63807-0100-10</t>
  </si>
  <si>
    <t>0.9% SODIUM CHLORIDE INJECTION, USP 100mL BAG</t>
  </si>
  <si>
    <t>0990-7984-23</t>
  </si>
  <si>
    <t>0.9% PER 100mL</t>
  </si>
  <si>
    <t>0.9% SODIUM CHLORIDE INJECTION, USP 250mL BAG</t>
  </si>
  <si>
    <t>0990-7983-02</t>
  </si>
  <si>
    <t>0.9% SODIUM CHLORIDE INJECTION, USP 500mL BAG</t>
  </si>
  <si>
    <t>0990-7983-55</t>
  </si>
  <si>
    <t>0.9% 500mL</t>
  </si>
  <si>
    <t>0.9% SODIUM CHLORIDE INJECTION, USP 1000mL BAG</t>
  </si>
  <si>
    <t>0990-7983-09</t>
  </si>
  <si>
    <t>SUCCINYLCHOLINE/RECURONIUM/VECURONIUM</t>
  </si>
  <si>
    <t>SUCCINYLCHOLINE CHLORIDE INJECTION, USP 200mg/10mL (20mg/mL) 10mL VIAL</t>
  </si>
  <si>
    <t>43598-666-25</t>
  </si>
  <si>
    <t>ROCURONIUM BROMIDE INJECTION, 50mg PER 5mL (10mg/mL) 5mL VIAL</t>
  </si>
  <si>
    <t>55150-225-05</t>
  </si>
  <si>
    <t>ROCURONIUM BROMIDE INJECTION 100mg PER 10mL (10mg/mL) 10mL VIAL</t>
  </si>
  <si>
    <t>55150-226-10</t>
  </si>
  <si>
    <t>VECURONIUM BROMIDE FOR INJECTION 10mg 1mg/mL 10mL VIAL</t>
  </si>
  <si>
    <t>0409-1632-01</t>
  </si>
  <si>
    <t>VECURONIUM BROMIDE FOR INJECTION, 10mg PER VIAL* 10mL VIAL</t>
  </si>
  <si>
    <t>55150-235-10</t>
  </si>
  <si>
    <t>TRANEXAMIC ACID</t>
  </si>
  <si>
    <t>TRANEXAMIC ACID INJECTION 1000mg PER 10mL (100mg/mL) 10mL VIAL</t>
  </si>
  <si>
    <t>55150-188-10</t>
  </si>
  <si>
    <t>VASOPRESSIN</t>
  </si>
  <si>
    <t>VASOSTRICT(TM) (VASOPRESSIN INJECTION, USP) 20 UNITS PER mL 1mL VIAL</t>
  </si>
  <si>
    <t>42023-0164-25</t>
  </si>
  <si>
    <t>20 UNITS PER mL</t>
  </si>
  <si>
    <t>VERAPAMIL</t>
  </si>
  <si>
    <t>VERAPAMIL HCI INJECTION USP, 5mg PER 2mL (2.5mg/mL) 2mL VIAL</t>
  </si>
  <si>
    <t>55150-342-25</t>
  </si>
  <si>
    <t>VERAPAMIL HCI INJECTION, USP 10mg PER 4mL (2.5mg/mL) 4mL VIAL</t>
  </si>
  <si>
    <t>55150-343-05</t>
  </si>
  <si>
    <t>VERAPAMIL HYDROCHLORIDE INJECTION, USP 10mg (2.5 mg/mL) 4mL ANSYR SYR</t>
  </si>
  <si>
    <t>0409-9633-05</t>
  </si>
  <si>
    <t>10mg (2.5 mg/mL)</t>
  </si>
  <si>
    <t>WATER/STERILE/BACTERIOSTATIC</t>
  </si>
  <si>
    <t>STERILE WATER FOR INJECTION, USP 20mL VIAL</t>
  </si>
  <si>
    <t>0409-4887-20</t>
  </si>
  <si>
    <t>STERILE WATER FOR INJECTION, USP 50mL VIAL</t>
  </si>
  <si>
    <t>0409-4887-50</t>
  </si>
  <si>
    <t>STERILE WATER FOR INJECTION, USP 100mL VIAL</t>
  </si>
  <si>
    <t>0409-4887-99</t>
  </si>
  <si>
    <t>HEADER ADENOSINE</t>
  </si>
  <si>
    <t>HEADER ALBUTEROL</t>
  </si>
  <si>
    <t>HEADER AMINOPHYLLINE</t>
  </si>
  <si>
    <t>HEADER AMIODARONE</t>
  </si>
  <si>
    <t>HEADER ASPIRIN</t>
  </si>
  <si>
    <t>HEADER ATROPINE</t>
  </si>
  <si>
    <t>HEADER BUPIVACAINE/MARCAINE/SENSORCAINE</t>
  </si>
  <si>
    <t>HEADER CALCIUM CHLORIDE</t>
  </si>
  <si>
    <t>HEADER CALCIUM GLUCONATE</t>
  </si>
  <si>
    <t>HEADER CHLORAPREP</t>
  </si>
  <si>
    <t>HEADER DEXAMETHASONE</t>
  </si>
  <si>
    <t>HEADER DEXTROSE</t>
  </si>
  <si>
    <t>HEADER DIGOXIN</t>
  </si>
  <si>
    <t>HEADER DILTIAZEM</t>
  </si>
  <si>
    <t>HEADER DIPHENHYDRAMINE</t>
  </si>
  <si>
    <t>HEADER DOBUTAMINE</t>
  </si>
  <si>
    <t>HEADER DOPAMINE</t>
  </si>
  <si>
    <t>HEADER DOXYCYCLINE</t>
  </si>
  <si>
    <t>HEADER ENALAPRILAT</t>
  </si>
  <si>
    <t>HEADER EPHEDRINE</t>
  </si>
  <si>
    <t>HEADER EPINEPHRINE</t>
  </si>
  <si>
    <t>HEADER ETOMIDATE/AMIDATE</t>
  </si>
  <si>
    <t>HEADER FAMOTIDINE</t>
  </si>
  <si>
    <t>HEADER FLUMAZENIL/ROMAZICON</t>
  </si>
  <si>
    <t>HEADER FUROSEMIDE/LASIX</t>
  </si>
  <si>
    <t>HEADER GLUCOSE</t>
  </si>
  <si>
    <t>HEADER GLYCOPYRROLATE/ROBINUL</t>
  </si>
  <si>
    <t>HEADER HETASTARCH</t>
  </si>
  <si>
    <t>HEADER HEPARIN</t>
  </si>
  <si>
    <t>HEADER HYDRALAZINE/APRESOLINE</t>
  </si>
  <si>
    <t>HEADER HYDROCORTISONE/ SOLU-CORTEF</t>
  </si>
  <si>
    <t>HEADER HYALURONIDASE</t>
  </si>
  <si>
    <t>HEADER KETOROLAC TROMETHAMINE/TORADOL</t>
  </si>
  <si>
    <t>HEADER LABETALOL / METOPROLOL/PROPANOLOL/ESMOLOL</t>
  </si>
  <si>
    <t>HEADER LACTATED RINGER'S</t>
  </si>
  <si>
    <t>HEADER LIDOCAINE/XYLOCAINE/LIGNOCAINE</t>
  </si>
  <si>
    <t>HEADER MAGNESIUM SULFATE</t>
  </si>
  <si>
    <t>HEADER MANNITOL</t>
  </si>
  <si>
    <t>HEADER METHYLPREDNISOLONE/ SOLU-MEDROL</t>
  </si>
  <si>
    <t>HEADER METOCLOPRAMIDE</t>
  </si>
  <si>
    <t>HEADER NALBUPHINE/NUBAIN</t>
  </si>
  <si>
    <t>HEADER NALOXONE</t>
  </si>
  <si>
    <t>HEADER NICARDIPINE/ CARDENE</t>
  </si>
  <si>
    <t>HEADER NITROGLYCERIN</t>
  </si>
  <si>
    <t>HEADER NOREPINEPHRINE / LEVOPHED</t>
  </si>
  <si>
    <t>HEADER ONDANSETRON</t>
  </si>
  <si>
    <t>HEADER PHENYLEPHRINE</t>
  </si>
  <si>
    <t>HEADER PHENYTOIN/DILANTIN</t>
  </si>
  <si>
    <t>HEADER PROCAINAMIDE</t>
  </si>
  <si>
    <t>HEADER PROMETHAZINE/PROMETHEGAN/PHENERGAN</t>
  </si>
  <si>
    <t>HEADER PROPOFOL/ DIPRIVAN</t>
  </si>
  <si>
    <t>HEADER SODIUM BICARBONATE</t>
  </si>
  <si>
    <t>HEADER SODIUM CHLORIDE</t>
  </si>
  <si>
    <t>HEADER SUCCINYLCHOLINE/RECURONIUM/VECURONIUM</t>
  </si>
  <si>
    <t>HEADER TRANEXAMIC ACID</t>
  </si>
  <si>
    <t>HEADER VASOPRESSIN</t>
  </si>
  <si>
    <t>HEADER VERAPAMIL</t>
  </si>
  <si>
    <t>HEADER WATER/STERILE/BACTERIOSTATIC</t>
  </si>
  <si>
    <t xml:space="preserve">ONDANSETRON ORALLY DISINTEGRATING TABLETS, USP 4mg (2 PACK)                                          </t>
  </si>
  <si>
    <t xml:space="preserve">LUBRICATING JELLY, DYNALUBE STERILE 2OZ TUBE                                                         </t>
  </si>
  <si>
    <t xml:space="preserve">10% DEXTROSE INJECTION USP, 250mL BAG                                                                </t>
  </si>
  <si>
    <t xml:space="preserve">TRANSCEND 15g GLUCOSE GEL POUCH                                                                      </t>
  </si>
  <si>
    <t>TRANSCEND 15g GLUCOSE GEL POUCH</t>
  </si>
  <si>
    <t>N/A</t>
  </si>
  <si>
    <t>15 Gram Strength</t>
  </si>
  <si>
    <t>31gm</t>
  </si>
  <si>
    <t>ONDANSETRON ORALLY DISINTEGRATING TABLETS, USP 4mg (2 PACK)</t>
  </si>
  <si>
    <t>57237-077-10</t>
  </si>
  <si>
    <t>4mg</t>
  </si>
  <si>
    <t>1 TABLET</t>
  </si>
  <si>
    <t xml:space="preserve">AED, DEFIBTECH 9V LITHIUM BATTERY FOR DDU-100 SERIES                                                 </t>
  </si>
  <si>
    <t>NALOXONE HCI INJECTION, USP 4mg PER 10mL (0.4mg/mL) 10mL VIAL BOXED</t>
  </si>
  <si>
    <t>70069-072-10</t>
  </si>
  <si>
    <t>72888-139-33</t>
  </si>
  <si>
    <t>.4 mg/1</t>
  </si>
  <si>
    <t xml:space="preserve">NALOXONE HCI INJECTION, USP 4mg PER 10mL (0.4mg/mL) 10mL VIAL BOXED                                  </t>
  </si>
  <si>
    <t xml:space="preserve">FEDERAL HIPAA ONLINE TRAINING VIDEO RENEWAL BILLING - CHOICE SELECT                                  </t>
  </si>
  <si>
    <t xml:space="preserve">FLUMAZENIL INJECTION USP, 0.5mg PER 5mL (0.1mg/mL) 5mL VIAL                                          </t>
  </si>
  <si>
    <t xml:space="preserve">LIDOCAINE HCl AND 5% DEXTROSE INJECTION USP, 2g/250mL (8mg/mL) 250mL BAG                             </t>
  </si>
  <si>
    <t xml:space="preserve">ONDANSETRON HCl, USP 4mg, 30/BOTTLE                                                                  </t>
  </si>
  <si>
    <t xml:space="preserve">VASOPRESSIN INJECTION, USP 20 UNITS PER 1mL (20 UNITS/mL) 1 mL VIAL                                  </t>
  </si>
  <si>
    <t xml:space="preserve">BUFFERED PENICILLIN G POTASSIUM FOR INJECTION, USP 5,000,000 UNITS (5 MILLION UNITS) VIAL            </t>
  </si>
  <si>
    <t xml:space="preserve">DOPAMINE HCl IN 5% DEXTROSE INJECTION, USP 400mg/250mL (1,600mcg/mL) 250mL BAG                       </t>
  </si>
  <si>
    <t xml:space="preserve">HEPARIN SODIUM IN 0.45% SODIUM CHLORIDE IN 25,000 USP/250 mL (100 USP Units/mL) 250 mL               </t>
  </si>
  <si>
    <t xml:space="preserve">VASOPRESSIN INJECTION, USP 20 UNITS PER 1mL 1mL VIAL                                                 </t>
  </si>
  <si>
    <t xml:space="preserve">DOBUTAMINE IN 5% DEXTROSE INJECTION USP, 250mg PER 250mL (1,000 mcg/mL) 250mL BAG                    </t>
  </si>
  <si>
    <t xml:space="preserve">BASIC EMERGENCY MEDICAL KIT TRAINING VIDEO, REFILL - DENTAL                                          </t>
  </si>
  <si>
    <t xml:space="preserve">BASIC EMERGENCY MEDICAL KIT TRAINING VIDEO, REFILL - MEDICAL                                         </t>
  </si>
  <si>
    <t xml:space="preserve">BASIC EMERGENCY MEDICAL KIT TRAINING VIDEO, INITIAL - DENTAL                                         </t>
  </si>
  <si>
    <t xml:space="preserve">BASIC EMERGENCY MEDICAL KIT TRAINING VIDEO, INITIAL - MEDICAL                                        </t>
  </si>
  <si>
    <t xml:space="preserve">DOBUTAMINE IN 5% DEXTROSE INJECTION, USP 500mg/250mL (2,000 mcg/mL) 250mL BAG                        </t>
  </si>
  <si>
    <t xml:space="preserve">SYRINGE, BD 30mL LUER LOCK W/O NEEDLE                                                                </t>
  </si>
  <si>
    <t>V 89 07/17/2026</t>
  </si>
  <si>
    <t>LIDOCAINE HCI INJECTION, USP 2% (100 mg/5 mL) (20 mg/mL) 5mL VIAL</t>
  </si>
  <si>
    <t>0143-9594-25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</si>
</sst>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quot;$&quot;#,##0"/>
    <numFmt numFmtId="166" formatCode="&quot;$&quot;#,##0.00"/>
    <numFmt numFmtId="167" formatCode="[$-409]m/d/yy\ h:mm\ AM/PM;@"/>
    <numFmt numFmtId="168" formatCode="[$$-409]#,##0.00;\-[$$-409]#,##0.00"/>
  </numFmts>
  <fonts count="7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indexed="8"/>
      <name val="Calibri"/>
      <family val="2"/>
      <scheme val="minor"/>
    </font>
    <font>
      <b/>
      <sz val="11"/>
      <name val="Calibri"/>
      <family val="2"/>
      <scheme val="minor"/>
    </font>
    <font>
      <i/>
      <sz val="10"/>
      <name val="Calibri"/>
      <family val="2"/>
      <scheme val="minor"/>
    </font>
    <font>
      <sz val="11"/>
      <name val="Calibri"/>
      <family val="2"/>
      <scheme val="minor"/>
    </font>
    <font>
      <b/>
      <sz val="11"/>
      <color indexed="8"/>
      <name val="Calibri"/>
      <family val="2"/>
      <scheme val="minor"/>
    </font>
    <font>
      <sz val="20"/>
      <color theme="0"/>
      <name val="Calibri"/>
      <family val="2"/>
      <scheme val="minor"/>
    </font>
    <font>
      <b/>
      <sz val="16"/>
      <name val="Calibri"/>
      <family val="2"/>
      <scheme val="minor"/>
    </font>
    <font>
      <b/>
      <sz val="14"/>
      <name val="Calibri"/>
      <family val="2"/>
      <scheme val="minor"/>
    </font>
    <font>
      <sz val="11"/>
      <color indexed="8"/>
      <name val="Calibri"/>
      <family val="2"/>
      <scheme val="minor"/>
    </font>
    <font>
      <sz val="11"/>
      <color rgb="FF9C0006"/>
      <name val="Calibri"/>
      <family val="2"/>
      <scheme val="minor"/>
    </font>
    <font>
      <sz val="11"/>
      <color rgb="FFFF0000"/>
      <name val="Calibri"/>
      <family val="2"/>
      <scheme val="minor"/>
    </font>
    <font>
      <sz val="14"/>
      <color rgb="FFFF0000"/>
      <name val="Calibri"/>
      <family val="2"/>
      <scheme val="minor"/>
    </font>
    <font>
      <b/>
      <i/>
      <sz val="16"/>
      <color rgb="FF002060"/>
      <name val="Calibri"/>
      <family val="2"/>
      <scheme val="minor"/>
    </font>
    <font>
      <b/>
      <sz val="10"/>
      <name val="Calibri"/>
      <family val="2"/>
      <scheme val="minor"/>
    </font>
    <font>
      <sz val="10"/>
      <color theme="1"/>
      <name val="Calibri"/>
      <family val="2"/>
      <scheme val="minor"/>
    </font>
    <font>
      <sz val="15"/>
      <color rgb="FFFFFF00"/>
      <name val="Calibri"/>
      <family val="2"/>
      <scheme val="minor"/>
    </font>
    <font>
      <b/>
      <sz val="15"/>
      <name val="Calibri"/>
      <family val="2"/>
      <scheme val="minor"/>
    </font>
    <font>
      <sz val="15"/>
      <name val="Calibri"/>
      <family val="2"/>
      <scheme val="minor"/>
    </font>
    <font>
      <b/>
      <sz val="15"/>
      <color theme="1"/>
      <name val="Calibri"/>
      <family val="2"/>
      <scheme val="minor"/>
    </font>
    <font>
      <sz val="12"/>
      <color indexed="8"/>
      <name val="Calibri"/>
      <family val="2"/>
      <scheme val="minor"/>
    </font>
    <font>
      <sz val="12"/>
      <color rgb="FF000000"/>
      <name val="Calibri"/>
      <family val="2"/>
      <scheme val="minor"/>
    </font>
    <font>
      <u/>
      <sz val="11"/>
      <color theme="10"/>
      <name val="Calibri"/>
      <family val="2"/>
      <scheme val="minor"/>
    </font>
    <font>
      <b/>
      <sz val="26"/>
      <color indexed="8"/>
      <name val="Calibri"/>
      <family val="2"/>
      <scheme val="minor"/>
    </font>
    <font>
      <b/>
      <sz val="12"/>
      <name val="Calibri"/>
      <family val="2"/>
      <scheme val="minor"/>
    </font>
    <font>
      <b/>
      <sz val="20"/>
      <name val="Calibri"/>
      <family val="2"/>
      <scheme val="minor"/>
    </font>
    <font>
      <sz val="20"/>
      <name val="Calibri"/>
      <family val="2"/>
      <scheme val="minor"/>
    </font>
    <font>
      <b/>
      <i/>
      <sz val="20"/>
      <name val="Calibri"/>
      <family val="2"/>
      <scheme val="minor"/>
    </font>
    <font>
      <sz val="16"/>
      <color theme="1"/>
      <name val="Calibri"/>
      <family val="2"/>
      <scheme val="minor"/>
    </font>
    <font>
      <b/>
      <sz val="16"/>
      <color theme="1"/>
      <name val="Calibri"/>
      <family val="2"/>
      <scheme val="minor"/>
    </font>
    <font>
      <b/>
      <i/>
      <sz val="18"/>
      <color theme="1"/>
      <name val="Calibri"/>
      <family val="2"/>
      <scheme val="minor"/>
    </font>
    <font>
      <sz val="18"/>
      <color theme="1"/>
      <name val="Calibri"/>
      <family val="2"/>
      <scheme val="minor"/>
    </font>
    <font>
      <b/>
      <sz val="20"/>
      <color theme="1"/>
      <name val="Calibri"/>
      <family val="2"/>
      <scheme val="minor"/>
    </font>
    <font>
      <b/>
      <sz val="24"/>
      <color rgb="FF002060"/>
      <name val="Calibri"/>
      <family val="2"/>
      <scheme val="minor"/>
    </font>
    <font>
      <b/>
      <sz val="11"/>
      <color theme="1"/>
      <name val="Calibri"/>
      <family val="2"/>
      <scheme val="minor"/>
    </font>
    <font>
      <b/>
      <u/>
      <sz val="16"/>
      <color theme="10"/>
      <name val="Calibri"/>
      <family val="2"/>
      <scheme val="minor"/>
    </font>
    <font>
      <sz val="24"/>
      <color theme="1"/>
      <name val="Calibri"/>
      <family val="2"/>
      <scheme val="minor"/>
    </font>
    <font>
      <b/>
      <sz val="26"/>
      <color theme="0"/>
      <name val="Calibri"/>
      <family val="2"/>
      <scheme val="minor"/>
    </font>
    <font>
      <sz val="14"/>
      <color theme="1"/>
      <name val="Calibri"/>
      <family val="2"/>
      <scheme val="minor"/>
    </font>
    <font>
      <b/>
      <sz val="12"/>
      <color rgb="FF000000"/>
      <name val="Calibri"/>
      <family val="2"/>
      <scheme val="minor"/>
    </font>
    <font>
      <b/>
      <sz val="18"/>
      <color rgb="FFFF0000"/>
      <name val="Calibri"/>
      <family val="2"/>
      <scheme val="minor"/>
    </font>
    <font>
      <sz val="11"/>
      <color rgb="FF000000"/>
      <name val="Calibri"/>
      <family val="2"/>
      <scheme val="minor"/>
    </font>
    <font>
      <sz val="11"/>
      <color theme="0"/>
      <name val="Calibri"/>
      <family val="2"/>
      <scheme val="minor"/>
    </font>
    <font>
      <sz val="10"/>
      <name val="Calibri"/>
      <family val="2"/>
      <scheme val="minor"/>
    </font>
    <font>
      <b/>
      <sz val="14"/>
      <color rgb="FFFF0000"/>
      <name val="Calibri"/>
      <family val="2"/>
      <scheme val="minor"/>
    </font>
    <font>
      <sz val="11"/>
      <color rgb="FF3F3F76"/>
      <name val="Calibri"/>
      <family val="2"/>
      <scheme val="minor"/>
    </font>
    <font>
      <b/>
      <sz val="12"/>
      <color indexed="8"/>
      <name val="Arial"/>
      <family val="2"/>
    </font>
    <font>
      <b/>
      <u/>
      <sz val="18"/>
      <color theme="10"/>
      <name val="Calibri"/>
      <family val="2"/>
      <scheme val="minor"/>
    </font>
    <font>
      <b/>
      <sz val="26"/>
      <name val="Calibri"/>
      <family val="2"/>
      <scheme val="minor"/>
    </font>
    <font>
      <b/>
      <sz val="12"/>
      <color theme="0"/>
      <name val="Arial"/>
      <family val="2"/>
    </font>
    <font>
      <sz val="26"/>
      <name val="Calibri"/>
      <family val="2"/>
      <scheme val="minor"/>
    </font>
    <font>
      <sz val="12"/>
      <name val="Calibri"/>
      <family val="2"/>
      <scheme val="minor"/>
    </font>
    <font>
      <sz val="14"/>
      <name val="Calibri"/>
      <family val="2"/>
      <scheme val="minor"/>
    </font>
    <font>
      <sz val="11"/>
      <name val="Calibri"/>
      <family val="2"/>
    </font>
    <font>
      <b/>
      <sz val="14"/>
      <color theme="0"/>
      <name val="Calibri"/>
      <family val="2"/>
      <scheme val="minor"/>
    </font>
    <font>
      <b/>
      <sz val="15"/>
      <color theme="0"/>
      <name val="Calibri"/>
      <family val="2"/>
      <scheme val="minor"/>
    </font>
    <font>
      <b/>
      <sz val="12"/>
      <color theme="0"/>
      <name val="Calibri"/>
      <family val="2"/>
      <scheme val="minor"/>
    </font>
    <font>
      <sz val="16"/>
      <color indexed="8"/>
      <name val="Calibri"/>
      <family val="2"/>
      <scheme val="minor"/>
    </font>
    <font>
      <b/>
      <sz val="18"/>
      <color indexed="8"/>
      <name val="Calibri"/>
      <family val="2"/>
      <scheme val="minor"/>
    </font>
    <font>
      <sz val="11"/>
      <name val="Calibri"/>
      <family val="2"/>
    </font>
    <font>
      <sz val="10"/>
      <color rgb="FF000000"/>
      <name val="Arial"/>
      <family val="2"/>
    </font>
    <font>
      <sz val="10"/>
      <color theme="0"/>
      <name val="Arial"/>
      <family val="2"/>
    </font>
    <font>
      <sz val="10"/>
      <color rgb="FF000000"/>
      <name val="Arial"/>
      <family val="2"/>
    </font>
    <font>
      <sz val="10"/>
      <color rgb="FF000000"/>
      <name val="Arial"/>
    </font>
    <font>
      <b/>
      <u/>
      <sz val="10"/>
      <color rgb="FF000000"/>
      <name val="Arial"/>
    </font>
    <font>
      <sz val="10"/>
      <color theme="0"/>
      <name val="Arial"/>
    </font>
    <font>
      <b/>
      <sz val="10"/>
      <color theme="0"/>
      <name val="Arial"/>
    </font>
  </fonts>
  <fills count="2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bgColor indexed="64"/>
      </patternFill>
    </fill>
    <fill>
      <patternFill patternType="solid">
        <fgColor theme="0" tint="-0.499984740745262"/>
        <bgColor indexed="64"/>
      </patternFill>
    </fill>
    <fill>
      <patternFill patternType="solid">
        <fgColor rgb="FFFFFFCC"/>
      </patternFill>
    </fill>
    <fill>
      <patternFill patternType="solid">
        <fgColor theme="4"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A3E7FF"/>
        <bgColor indexed="64"/>
      </patternFill>
    </fill>
    <fill>
      <patternFill patternType="solid">
        <fgColor rgb="FFFFC7CE"/>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70C0"/>
        <bgColor indexed="64"/>
      </patternFill>
    </fill>
    <fill>
      <patternFill patternType="solid">
        <fgColor rgb="FFFFCC99"/>
      </patternFill>
    </fill>
    <fill>
      <patternFill patternType="solid">
        <fgColor theme="7" tint="0.79998168889431442"/>
        <bgColor indexed="64"/>
      </patternFill>
    </fill>
    <fill>
      <patternFill patternType="solid">
        <fgColor rgb="FFFFC000"/>
        <bgColor indexed="64"/>
      </patternFill>
    </fill>
    <fill>
      <patternFill patternType="solid">
        <fgColor rgb="FFA9D08E"/>
        <bgColor indexed="64"/>
      </patternFill>
    </fill>
    <fill>
      <patternFill patternType="solid">
        <fgColor rgb="FF5FB3F9"/>
      </patternFill>
    </fill>
    <fill>
      <patternFill patternType="solid">
        <fgColor rgb="FFFFED00"/>
      </patternFill>
    </fill>
    <fill>
      <patternFill patternType="solid">
        <fgColor rgb="FFEA352E"/>
      </patternFill>
    </fill>
    <fill>
      <patternFill patternType="solid">
        <fgColor rgb="FFFEFF85"/>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diagonal/>
    </border>
    <border>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right style="thick">
        <color indexed="64"/>
      </right>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2">
    <xf numFmtId="0" fontId="0" fillId="0" borderId="0"/>
    <xf numFmtId="0" fontId="6" fillId="0" borderId="0"/>
    <xf numFmtId="0" fontId="6" fillId="6" borderId="9" applyNumberFormat="0" applyFont="0" applyAlignment="0" applyProtection="0"/>
    <xf numFmtId="0" fontId="5" fillId="0" borderId="0"/>
    <xf numFmtId="0" fontId="5" fillId="6" borderId="9" applyNumberFormat="0" applyFont="0" applyAlignment="0" applyProtection="0"/>
    <xf numFmtId="44" fontId="15" fillId="0" borderId="0" applyFont="0" applyFill="0" applyBorder="0" applyAlignment="0" applyProtection="0"/>
    <xf numFmtId="0" fontId="16" fillId="11" borderId="0" applyNumberFormat="0" applyBorder="0" applyAlignment="0" applyProtection="0"/>
    <xf numFmtId="0" fontId="28" fillId="0" borderId="0" applyNumberFormat="0" applyFill="0" applyBorder="0" applyAlignment="0" applyProtection="0"/>
    <xf numFmtId="43" fontId="15" fillId="0" borderId="0" applyFont="0" applyFill="0" applyBorder="0" applyAlignment="0" applyProtection="0"/>
    <xf numFmtId="0" fontId="47" fillId="0" borderId="0"/>
    <xf numFmtId="0" fontId="51" fillId="21" borderId="39" applyNumberFormat="0" applyAlignment="0" applyProtection="0"/>
    <xf numFmtId="9" fontId="15" fillId="0" borderId="0" applyFont="0" applyFill="0" applyBorder="0" applyAlignment="0" applyProtection="0"/>
  </cellStyleXfs>
  <cellXfs count="414">
    <xf numFmtId="0" fontId="0" fillId="0" borderId="0" xfId="0"/>
    <xf numFmtId="0" fontId="0" fillId="0" borderId="0" xfId="0" applyAlignment="1">
      <alignment horizontal="center"/>
    </xf>
    <xf numFmtId="0" fontId="5" fillId="0" borderId="0" xfId="3"/>
    <xf numFmtId="0" fontId="10" fillId="0" borderId="0" xfId="3" applyFont="1"/>
    <xf numFmtId="0" fontId="8" fillId="2" borderId="15" xfId="0" applyFont="1" applyFill="1" applyBorder="1" applyAlignment="1" applyProtection="1">
      <alignment horizontal="left" vertical="center"/>
      <protection locked="0"/>
    </xf>
    <xf numFmtId="0" fontId="8" fillId="2" borderId="15" xfId="0" applyFont="1" applyFill="1" applyBorder="1" applyAlignment="1">
      <alignment horizontal="left" vertical="center"/>
    </xf>
    <xf numFmtId="0" fontId="8" fillId="2" borderId="15"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14" xfId="0" applyFont="1" applyFill="1" applyBorder="1" applyAlignment="1">
      <alignment horizontal="left" vertical="center"/>
    </xf>
    <xf numFmtId="0" fontId="8" fillId="16" borderId="5" xfId="0" applyFont="1" applyFill="1" applyBorder="1" applyAlignment="1">
      <alignment horizontal="left" vertical="center"/>
    </xf>
    <xf numFmtId="0" fontId="8" fillId="16" borderId="4" xfId="0" applyFont="1" applyFill="1" applyBorder="1" applyAlignment="1">
      <alignment horizontal="left" vertical="center"/>
    </xf>
    <xf numFmtId="0" fontId="18" fillId="0" borderId="0" xfId="3" applyFont="1"/>
    <xf numFmtId="0" fontId="7" fillId="0" borderId="0" xfId="0" applyFont="1"/>
    <xf numFmtId="0" fontId="7" fillId="0" borderId="0" xfId="0" applyFont="1" applyAlignment="1">
      <alignment horizontal="center"/>
    </xf>
    <xf numFmtId="0" fontId="22" fillId="17" borderId="0" xfId="0" applyFont="1" applyFill="1"/>
    <xf numFmtId="0" fontId="0" fillId="0" borderId="0" xfId="0" applyProtection="1">
      <protection locked="0"/>
    </xf>
    <xf numFmtId="0" fontId="0" fillId="0" borderId="0" xfId="0" applyProtection="1">
      <protection hidden="1"/>
    </xf>
    <xf numFmtId="0" fontId="22" fillId="0" borderId="0" xfId="0" applyFont="1"/>
    <xf numFmtId="0" fontId="29" fillId="2" borderId="0" xfId="0" applyFont="1" applyFill="1"/>
    <xf numFmtId="0" fontId="29" fillId="2" borderId="0" xfId="0" applyFont="1" applyFill="1" applyAlignment="1">
      <alignment horizontal="center"/>
    </xf>
    <xf numFmtId="0" fontId="32" fillId="0" borderId="0" xfId="3" applyFont="1"/>
    <xf numFmtId="0" fontId="34" fillId="0" borderId="0" xfId="3" applyFont="1"/>
    <xf numFmtId="0" fontId="34" fillId="0" borderId="0" xfId="3" applyFont="1" applyAlignment="1">
      <alignment horizontal="left"/>
    </xf>
    <xf numFmtId="0" fontId="35" fillId="19" borderId="1" xfId="3" applyFont="1" applyFill="1" applyBorder="1" applyAlignment="1">
      <alignment horizontal="left"/>
    </xf>
    <xf numFmtId="0" fontId="35" fillId="19" borderId="1" xfId="3" applyFont="1" applyFill="1" applyBorder="1"/>
    <xf numFmtId="0" fontId="19" fillId="2" borderId="0" xfId="3" applyFont="1" applyFill="1"/>
    <xf numFmtId="0" fontId="14" fillId="2" borderId="25" xfId="3" applyFont="1" applyFill="1" applyBorder="1" applyAlignment="1">
      <alignment horizontal="center"/>
    </xf>
    <xf numFmtId="0" fontId="19" fillId="2" borderId="34" xfId="3" applyFont="1" applyFill="1" applyBorder="1"/>
    <xf numFmtId="0" fontId="32" fillId="14" borderId="0" xfId="3" applyFont="1" applyFill="1"/>
    <xf numFmtId="0" fontId="31" fillId="14" borderId="11" xfId="4" applyFont="1" applyFill="1" applyBorder="1" applyAlignment="1" applyProtection="1">
      <alignment horizontal="center" wrapText="1"/>
    </xf>
    <xf numFmtId="0" fontId="37" fillId="0" borderId="0" xfId="3" applyFont="1" applyAlignment="1">
      <alignment horizontal="left"/>
    </xf>
    <xf numFmtId="0" fontId="5" fillId="0" borderId="0" xfId="3" applyAlignment="1">
      <alignment horizontal="left"/>
    </xf>
    <xf numFmtId="0" fontId="36" fillId="0" borderId="0" xfId="3" applyFont="1" applyAlignment="1">
      <alignment horizontal="left"/>
    </xf>
    <xf numFmtId="0" fontId="42" fillId="0" borderId="0" xfId="3" applyFont="1"/>
    <xf numFmtId="0" fontId="5" fillId="0" borderId="0" xfId="3" applyProtection="1">
      <protection locked="0"/>
    </xf>
    <xf numFmtId="0" fontId="34" fillId="0" borderId="0" xfId="3" applyFont="1" applyProtection="1">
      <protection locked="0"/>
    </xf>
    <xf numFmtId="0" fontId="42" fillId="0" borderId="0" xfId="3" applyFont="1" applyProtection="1">
      <protection locked="0"/>
    </xf>
    <xf numFmtId="0" fontId="8" fillId="16" borderId="4" xfId="0" applyFont="1" applyFill="1" applyBorder="1" applyAlignment="1" applyProtection="1">
      <alignment horizontal="left" vertical="center"/>
      <protection locked="0"/>
    </xf>
    <xf numFmtId="0" fontId="8" fillId="16" borderId="5" xfId="0" applyFont="1" applyFill="1" applyBorder="1" applyAlignment="1" applyProtection="1">
      <alignment horizontal="left" vertical="center"/>
      <protection locked="0"/>
    </xf>
    <xf numFmtId="0" fontId="7" fillId="18" borderId="13" xfId="0" applyFont="1" applyFill="1" applyBorder="1" applyAlignment="1">
      <alignment horizontal="center" vertical="center"/>
    </xf>
    <xf numFmtId="0" fontId="45" fillId="18" borderId="13" xfId="0" applyFont="1" applyFill="1" applyBorder="1" applyProtection="1">
      <protection hidden="1"/>
    </xf>
    <xf numFmtId="0" fontId="45" fillId="18" borderId="13" xfId="0" applyFont="1" applyFill="1" applyBorder="1" applyAlignment="1" applyProtection="1">
      <alignment horizontal="left"/>
      <protection hidden="1"/>
    </xf>
    <xf numFmtId="0" fontId="45" fillId="18" borderId="2" xfId="0" applyFont="1" applyFill="1" applyBorder="1" applyAlignment="1" applyProtection="1">
      <alignment horizontal="center"/>
      <protection hidden="1"/>
    </xf>
    <xf numFmtId="0" fontId="7" fillId="18" borderId="1" xfId="0" applyFont="1" applyFill="1" applyBorder="1" applyAlignment="1" applyProtection="1">
      <alignment horizontal="center" vertical="center"/>
      <protection hidden="1"/>
    </xf>
    <xf numFmtId="0" fontId="7" fillId="18" borderId="1" xfId="0" applyFont="1" applyFill="1" applyBorder="1" applyAlignment="1">
      <alignment horizontal="center" vertical="center"/>
    </xf>
    <xf numFmtId="0" fontId="45" fillId="18" borderId="1" xfId="0" applyFont="1" applyFill="1" applyBorder="1" applyProtection="1">
      <protection hidden="1"/>
    </xf>
    <xf numFmtId="0" fontId="45" fillId="18" borderId="1" xfId="0" applyFont="1" applyFill="1" applyBorder="1" applyAlignment="1" applyProtection="1">
      <alignment horizontal="left"/>
      <protection hidden="1"/>
    </xf>
    <xf numFmtId="0" fontId="45" fillId="18" borderId="3" xfId="0" applyFont="1" applyFill="1" applyBorder="1" applyAlignment="1" applyProtection="1">
      <alignment horizontal="center"/>
      <protection hidden="1"/>
    </xf>
    <xf numFmtId="0" fontId="26" fillId="0" borderId="1" xfId="0" applyFont="1" applyBorder="1" applyAlignment="1" applyProtection="1">
      <alignment horizontal="center" vertical="center"/>
      <protection locked="0"/>
    </xf>
    <xf numFmtId="0" fontId="27" fillId="0" borderId="1" xfId="0" applyFont="1" applyBorder="1" applyProtection="1">
      <protection hidden="1"/>
    </xf>
    <xf numFmtId="0" fontId="27" fillId="0" borderId="1" xfId="0" applyFont="1" applyBorder="1" applyAlignment="1" applyProtection="1">
      <alignment horizontal="left"/>
      <protection hidden="1"/>
    </xf>
    <xf numFmtId="0" fontId="27" fillId="0" borderId="3" xfId="0" applyFont="1" applyBorder="1" applyAlignment="1" applyProtection="1">
      <alignment horizontal="center"/>
      <protection hidden="1"/>
    </xf>
    <xf numFmtId="0" fontId="26" fillId="0" borderId="0" xfId="0" applyFont="1"/>
    <xf numFmtId="0" fontId="7" fillId="18" borderId="13" xfId="0" applyFont="1" applyFill="1" applyBorder="1" applyAlignment="1" applyProtection="1">
      <alignment horizontal="center" vertical="center"/>
      <protection hidden="1"/>
    </xf>
    <xf numFmtId="0" fontId="7" fillId="3" borderId="1" xfId="0" applyFont="1" applyFill="1" applyBorder="1" applyAlignment="1" applyProtection="1">
      <alignment horizontal="center" wrapText="1"/>
      <protection locked="0"/>
    </xf>
    <xf numFmtId="0" fontId="7" fillId="3" borderId="1" xfId="0" applyFont="1" applyFill="1" applyBorder="1" applyAlignment="1" applyProtection="1">
      <alignment horizontal="center" vertical="center"/>
      <protection hidden="1"/>
    </xf>
    <xf numFmtId="0" fontId="7" fillId="3" borderId="1" xfId="0" applyFont="1" applyFill="1" applyBorder="1" applyAlignment="1" applyProtection="1">
      <alignment horizontal="center"/>
      <protection locked="0"/>
    </xf>
    <xf numFmtId="0" fontId="46" fillId="0" borderId="0" xfId="3" applyFont="1"/>
    <xf numFmtId="0" fontId="46" fillId="0" borderId="0" xfId="3" applyFont="1" applyAlignment="1">
      <alignment horizontal="left"/>
    </xf>
    <xf numFmtId="0" fontId="41" fillId="0" borderId="0" xfId="7" applyFont="1" applyFill="1" applyAlignment="1">
      <alignment horizontal="left"/>
    </xf>
    <xf numFmtId="0" fontId="40" fillId="0" borderId="0" xfId="3" applyFont="1" applyAlignment="1">
      <alignment horizontal="left"/>
    </xf>
    <xf numFmtId="0" fontId="37" fillId="0" borderId="0" xfId="3" applyFont="1"/>
    <xf numFmtId="0" fontId="5" fillId="0" borderId="0" xfId="3" applyAlignment="1">
      <alignment wrapText="1"/>
    </xf>
    <xf numFmtId="0" fontId="5" fillId="0" borderId="0" xfId="3" applyAlignment="1">
      <alignment vertical="center" wrapText="1"/>
    </xf>
    <xf numFmtId="0" fontId="49" fillId="0" borderId="0" xfId="6" applyFont="1" applyFill="1" applyAlignment="1"/>
    <xf numFmtId="0" fontId="34" fillId="0" borderId="0" xfId="3" applyFont="1" applyAlignment="1">
      <alignment horizontal="center"/>
    </xf>
    <xf numFmtId="0" fontId="46" fillId="0" borderId="0" xfId="3" applyFont="1" applyProtection="1">
      <protection locked="0"/>
    </xf>
    <xf numFmtId="0" fontId="46" fillId="0" borderId="0" xfId="0" applyFont="1"/>
    <xf numFmtId="0" fontId="35" fillId="0" borderId="37" xfId="3" applyFont="1" applyBorder="1" applyProtection="1">
      <protection locked="0"/>
    </xf>
    <xf numFmtId="0" fontId="3" fillId="0" borderId="0" xfId="3" applyFont="1"/>
    <xf numFmtId="0" fontId="48" fillId="0" borderId="0" xfId="3" applyFont="1" applyProtection="1">
      <protection locked="0"/>
    </xf>
    <xf numFmtId="49" fontId="29" fillId="2" borderId="0" xfId="0" applyNumberFormat="1" applyFont="1" applyFill="1" applyAlignment="1" applyProtection="1">
      <alignment horizontal="left"/>
      <protection locked="0"/>
    </xf>
    <xf numFmtId="49" fontId="7" fillId="6" borderId="0" xfId="2" applyNumberFormat="1" applyFont="1" applyBorder="1" applyAlignment="1" applyProtection="1">
      <alignment horizontal="left" vertical="top" wrapText="1"/>
    </xf>
    <xf numFmtId="49" fontId="30" fillId="10" borderId="0" xfId="0" applyNumberFormat="1" applyFont="1" applyFill="1" applyAlignment="1">
      <alignment horizontal="left" vertical="top" wrapText="1"/>
    </xf>
    <xf numFmtId="49" fontId="25" fillId="17" borderId="0" xfId="5" applyNumberFormat="1" applyFont="1" applyFill="1" applyAlignment="1" applyProtection="1">
      <alignment horizontal="center" wrapText="1"/>
      <protection hidden="1"/>
    </xf>
    <xf numFmtId="49" fontId="7" fillId="3" borderId="40" xfId="0" applyNumberFormat="1" applyFont="1" applyFill="1" applyBorder="1" applyAlignment="1" applyProtection="1">
      <alignment horizontal="center" vertical="center"/>
      <protection hidden="1"/>
    </xf>
    <xf numFmtId="49" fontId="7" fillId="18" borderId="0" xfId="0" applyNumberFormat="1" applyFont="1" applyFill="1" applyAlignment="1" applyProtection="1">
      <alignment horizontal="center" vertical="center"/>
      <protection hidden="1"/>
    </xf>
    <xf numFmtId="0" fontId="29" fillId="2" borderId="41" xfId="0" applyFont="1" applyFill="1" applyBorder="1" applyAlignment="1" applyProtection="1">
      <alignment horizontal="left"/>
      <protection locked="0"/>
    </xf>
    <xf numFmtId="0" fontId="7" fillId="6" borderId="27" xfId="2" applyFont="1" applyBorder="1" applyAlignment="1" applyProtection="1">
      <alignment horizontal="left" vertical="top" wrapText="1"/>
    </xf>
    <xf numFmtId="0" fontId="30" fillId="10" borderId="42" xfId="0" applyFont="1" applyFill="1" applyBorder="1" applyAlignment="1">
      <alignment horizontal="left" vertical="top" wrapText="1"/>
    </xf>
    <xf numFmtId="0" fontId="11" fillId="0" borderId="0" xfId="0" applyFont="1" applyAlignment="1">
      <alignment horizontal="center"/>
    </xf>
    <xf numFmtId="0" fontId="7" fillId="0" borderId="1" xfId="0" applyFont="1" applyBorder="1" applyAlignment="1" applyProtection="1">
      <alignment horizontal="center" vertical="center"/>
      <protection hidden="1"/>
    </xf>
    <xf numFmtId="0" fontId="8" fillId="0" borderId="0" xfId="0" applyFont="1" applyAlignment="1">
      <alignment horizontal="left" vertical="center"/>
    </xf>
    <xf numFmtId="1" fontId="0" fillId="0" borderId="0" xfId="8" applyNumberFormat="1" applyFont="1" applyAlignment="1">
      <alignment horizontal="center"/>
    </xf>
    <xf numFmtId="0" fontId="7" fillId="0" borderId="13" xfId="0" applyFont="1" applyBorder="1" applyAlignment="1" applyProtection="1">
      <alignment horizontal="center" vertical="center"/>
      <protection hidden="1"/>
    </xf>
    <xf numFmtId="0" fontId="14" fillId="2" borderId="22" xfId="3" applyFont="1" applyFill="1" applyBorder="1" applyAlignment="1">
      <alignment horizontal="center" vertical="top"/>
    </xf>
    <xf numFmtId="1" fontId="11" fillId="0" borderId="0" xfId="0" applyNumberFormat="1" applyFont="1" applyAlignment="1">
      <alignment horizontal="center" vertical="center"/>
    </xf>
    <xf numFmtId="1" fontId="0" fillId="0" borderId="0" xfId="0" applyNumberFormat="1" applyAlignment="1">
      <alignment horizontal="center" vertical="center"/>
    </xf>
    <xf numFmtId="1" fontId="0" fillId="22" borderId="0" xfId="0" applyNumberFormat="1" applyFill="1" applyAlignment="1">
      <alignment horizontal="center" vertical="center"/>
    </xf>
    <xf numFmtId="49" fontId="7" fillId="3" borderId="0" xfId="0" applyNumberFormat="1" applyFont="1" applyFill="1" applyAlignment="1" applyProtection="1">
      <alignment horizontal="center" vertical="center"/>
      <protection hidden="1"/>
    </xf>
    <xf numFmtId="167" fontId="4" fillId="0" borderId="0" xfId="3" applyNumberFormat="1" applyFont="1" applyAlignment="1">
      <alignment horizontal="center" wrapText="1"/>
    </xf>
    <xf numFmtId="0" fontId="50" fillId="0" borderId="0" xfId="3" applyFont="1" applyAlignment="1" applyProtection="1">
      <alignment horizontal="center"/>
      <protection locked="0"/>
    </xf>
    <xf numFmtId="0" fontId="50" fillId="0" borderId="0" xfId="3" applyFont="1" applyAlignment="1">
      <alignment horizontal="center"/>
    </xf>
    <xf numFmtId="0" fontId="44" fillId="0" borderId="0" xfId="3" applyFont="1" applyAlignment="1">
      <alignment horizontal="center" wrapText="1"/>
    </xf>
    <xf numFmtId="14" fontId="5" fillId="0" borderId="37" xfId="3" applyNumberFormat="1" applyBorder="1" applyAlignment="1" applyProtection="1">
      <alignment horizontal="center"/>
      <protection locked="0"/>
    </xf>
    <xf numFmtId="14" fontId="5" fillId="0" borderId="37" xfId="3" applyNumberFormat="1" applyBorder="1" applyAlignment="1" applyProtection="1">
      <alignment vertical="center"/>
      <protection locked="0"/>
    </xf>
    <xf numFmtId="0" fontId="48" fillId="0" borderId="0" xfId="3" applyFont="1"/>
    <xf numFmtId="0" fontId="53" fillId="0" borderId="0" xfId="7" applyFont="1"/>
    <xf numFmtId="0" fontId="7" fillId="3" borderId="1" xfId="0" applyFont="1" applyFill="1" applyBorder="1" applyAlignment="1" applyProtection="1">
      <alignment horizontal="center" vertical="center" wrapText="1"/>
      <protection hidden="1"/>
    </xf>
    <xf numFmtId="49" fontId="7" fillId="18" borderId="0" xfId="0" applyNumberFormat="1" applyFont="1" applyFill="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xf>
    <xf numFmtId="0" fontId="7" fillId="3" borderId="47" xfId="0" applyFont="1" applyFill="1" applyBorder="1" applyAlignment="1" applyProtection="1">
      <alignment horizontal="center" wrapText="1"/>
      <protection locked="0"/>
    </xf>
    <xf numFmtId="0" fontId="23" fillId="24" borderId="26" xfId="0" applyFont="1" applyFill="1" applyBorder="1" applyAlignment="1" applyProtection="1">
      <alignment vertical="center"/>
      <protection locked="0"/>
    </xf>
    <xf numFmtId="0" fontId="23" fillId="24" borderId="30" xfId="0" applyFont="1" applyFill="1" applyBorder="1" applyProtection="1">
      <protection hidden="1"/>
    </xf>
    <xf numFmtId="0" fontId="23" fillId="24" borderId="38" xfId="0" applyFont="1" applyFill="1" applyBorder="1" applyAlignment="1" applyProtection="1">
      <alignment horizontal="right" vertical="center"/>
      <protection hidden="1"/>
    </xf>
    <xf numFmtId="165" fontId="25" fillId="24" borderId="38" xfId="5" applyNumberFormat="1" applyFont="1" applyFill="1" applyBorder="1" applyAlignment="1" applyProtection="1">
      <alignment horizontal="center" vertical="center" wrapText="1"/>
      <protection hidden="1"/>
    </xf>
    <xf numFmtId="0" fontId="23" fillId="24" borderId="38" xfId="0" applyFont="1" applyFill="1" applyBorder="1" applyAlignment="1" applyProtection="1">
      <alignment horizontal="center" vertical="center" wrapText="1"/>
      <protection hidden="1"/>
    </xf>
    <xf numFmtId="49" fontId="25" fillId="24" borderId="0" xfId="5" applyNumberFormat="1" applyFont="1" applyFill="1" applyAlignment="1" applyProtection="1">
      <alignment horizontal="center" wrapText="1"/>
      <protection hidden="1"/>
    </xf>
    <xf numFmtId="0" fontId="23" fillId="24" borderId="31" xfId="0" applyFont="1" applyFill="1" applyBorder="1" applyAlignment="1" applyProtection="1">
      <alignment horizontal="right" vertical="center"/>
      <protection hidden="1"/>
    </xf>
    <xf numFmtId="49" fontId="0" fillId="0" borderId="0" xfId="0" applyNumberFormat="1" applyAlignment="1">
      <alignment horizontal="center"/>
    </xf>
    <xf numFmtId="1" fontId="0" fillId="0" borderId="0" xfId="0" applyNumberFormat="1" applyAlignment="1">
      <alignment horizontal="center"/>
    </xf>
    <xf numFmtId="1" fontId="47" fillId="0" borderId="0" xfId="0" applyNumberFormat="1" applyFont="1" applyAlignment="1">
      <alignment horizontal="center"/>
    </xf>
    <xf numFmtId="0" fontId="54" fillId="2" borderId="0" xfId="0" applyFont="1" applyFill="1"/>
    <xf numFmtId="0" fontId="54" fillId="2" borderId="0" xfId="0" applyFont="1" applyFill="1" applyAlignment="1">
      <alignment horizontal="center"/>
    </xf>
    <xf numFmtId="0" fontId="30" fillId="0" borderId="0" xfId="0" applyFont="1"/>
    <xf numFmtId="0" fontId="30" fillId="0" borderId="0" xfId="0" applyFont="1" applyAlignment="1">
      <alignment horizontal="center"/>
    </xf>
    <xf numFmtId="0" fontId="24" fillId="0" borderId="0" xfId="0" applyFont="1"/>
    <xf numFmtId="0" fontId="10" fillId="0" borderId="0" xfId="0" applyFont="1"/>
    <xf numFmtId="0" fontId="26" fillId="0" borderId="1" xfId="0" applyFont="1" applyBorder="1" applyAlignment="1" applyProtection="1">
      <alignment horizontal="center" vertical="center"/>
      <protection hidden="1"/>
    </xf>
    <xf numFmtId="1" fontId="7" fillId="0" borderId="1" xfId="0" applyNumberFormat="1" applyFont="1" applyBorder="1" applyAlignment="1" applyProtection="1">
      <alignment horizontal="center" vertical="center" shrinkToFit="1"/>
      <protection hidden="1"/>
    </xf>
    <xf numFmtId="0" fontId="23" fillId="0" borderId="18" xfId="0" applyFont="1" applyBorder="1" applyAlignment="1" applyProtection="1">
      <alignment horizontal="right" vertical="center"/>
      <protection hidden="1"/>
    </xf>
    <xf numFmtId="0" fontId="23" fillId="0" borderId="6" xfId="0" applyFont="1" applyBorder="1" applyAlignment="1" applyProtection="1">
      <alignment horizontal="right" vertical="center"/>
      <protection hidden="1"/>
    </xf>
    <xf numFmtId="44" fontId="30" fillId="0" borderId="25" xfId="5" applyFont="1" applyFill="1" applyBorder="1" applyAlignment="1" applyProtection="1">
      <alignment horizontal="center" vertical="center" wrapText="1"/>
    </xf>
    <xf numFmtId="1" fontId="23" fillId="0" borderId="0" xfId="5" applyNumberFormat="1" applyFont="1" applyFill="1" applyBorder="1" applyAlignment="1" applyProtection="1">
      <alignment horizontal="center"/>
      <protection hidden="1"/>
    </xf>
    <xf numFmtId="0" fontId="10" fillId="0" borderId="0" xfId="0" applyFont="1" applyAlignment="1">
      <alignment horizontal="center"/>
    </xf>
    <xf numFmtId="44" fontId="30" fillId="0" borderId="25" xfId="5" applyFont="1" applyFill="1" applyBorder="1" applyAlignment="1" applyProtection="1">
      <alignment horizontal="center" vertical="center"/>
    </xf>
    <xf numFmtId="44" fontId="30" fillId="0" borderId="22" xfId="5" applyFont="1" applyFill="1" applyBorder="1" applyAlignment="1" applyProtection="1">
      <alignment horizontal="center" vertical="center"/>
    </xf>
    <xf numFmtId="44" fontId="24" fillId="0" borderId="24" xfId="5" applyFont="1" applyFill="1" applyBorder="1" applyAlignment="1" applyProtection="1">
      <alignment horizontal="center" vertical="center"/>
      <protection hidden="1"/>
    </xf>
    <xf numFmtId="0" fontId="8" fillId="0" borderId="0" xfId="0" applyFont="1" applyAlignment="1">
      <alignment horizontal="center" vertical="center"/>
    </xf>
    <xf numFmtId="0" fontId="23" fillId="0" borderId="0" xfId="0" applyFont="1" applyAlignment="1">
      <alignment horizontal="center" wrapText="1"/>
    </xf>
    <xf numFmtId="0" fontId="24" fillId="0" borderId="0" xfId="0" applyFont="1" applyAlignment="1">
      <alignment horizontal="center"/>
    </xf>
    <xf numFmtId="0" fontId="10" fillId="0" borderId="0" xfId="0" applyFont="1" applyAlignment="1" applyProtection="1">
      <alignment horizontal="center"/>
      <protection locked="0"/>
    </xf>
    <xf numFmtId="44" fontId="10" fillId="0" borderId="0" xfId="5" applyFont="1"/>
    <xf numFmtId="44" fontId="10" fillId="0" borderId="0" xfId="5" applyFont="1" applyFill="1" applyAlignment="1"/>
    <xf numFmtId="0" fontId="14" fillId="14" borderId="6" xfId="0" applyFont="1" applyFill="1" applyBorder="1" applyAlignment="1" applyProtection="1">
      <alignment horizontal="center"/>
      <protection locked="0"/>
    </xf>
    <xf numFmtId="0" fontId="14" fillId="14" borderId="27" xfId="0" applyFont="1" applyFill="1" applyBorder="1" applyAlignment="1" applyProtection="1">
      <alignment horizontal="center"/>
      <protection locked="0"/>
    </xf>
    <xf numFmtId="0" fontId="14" fillId="15" borderId="7" xfId="0" applyFont="1" applyFill="1" applyBorder="1" applyAlignment="1" applyProtection="1">
      <alignment horizontal="left"/>
      <protection locked="0"/>
    </xf>
    <xf numFmtId="0" fontId="14" fillId="15" borderId="7" xfId="0" applyFont="1" applyFill="1" applyBorder="1" applyAlignment="1" applyProtection="1">
      <alignment horizontal="center"/>
      <protection locked="0"/>
    </xf>
    <xf numFmtId="0" fontId="14" fillId="15" borderId="8" xfId="0" applyFont="1" applyFill="1" applyBorder="1" applyAlignment="1" applyProtection="1">
      <alignment horizontal="center"/>
      <protection locked="0"/>
    </xf>
    <xf numFmtId="44" fontId="14" fillId="15" borderId="0" xfId="5" applyFont="1" applyFill="1" applyBorder="1" applyAlignment="1" applyProtection="1">
      <alignment horizontal="center"/>
      <protection locked="0"/>
    </xf>
    <xf numFmtId="44" fontId="14" fillId="13" borderId="0" xfId="5" applyFont="1" applyFill="1"/>
    <xf numFmtId="0" fontId="14" fillId="13" borderId="0" xfId="0" applyFont="1" applyFill="1"/>
    <xf numFmtId="0" fontId="14" fillId="13" borderId="0" xfId="0" applyFont="1" applyFill="1" applyAlignment="1">
      <alignment horizontal="center"/>
    </xf>
    <xf numFmtId="0" fontId="10" fillId="0" borderId="28" xfId="0" applyFont="1" applyBorder="1" applyAlignment="1" applyProtection="1">
      <alignment horizontal="left" vertical="center"/>
      <protection locked="0"/>
    </xf>
    <xf numFmtId="0" fontId="8" fillId="16" borderId="0" xfId="0" applyFont="1" applyFill="1" applyAlignment="1">
      <alignment horizontal="left"/>
    </xf>
    <xf numFmtId="0" fontId="10" fillId="16" borderId="0" xfId="0" applyFont="1" applyFill="1" applyAlignment="1">
      <alignment horizontal="center"/>
    </xf>
    <xf numFmtId="44" fontId="10" fillId="0" borderId="0" xfId="5" applyFont="1" applyFill="1" applyBorder="1" applyAlignment="1" applyProtection="1">
      <alignment horizontal="left" vertical="center"/>
      <protection locked="0"/>
    </xf>
    <xf numFmtId="0" fontId="10" fillId="0" borderId="29" xfId="0" applyFont="1" applyBorder="1" applyAlignment="1" applyProtection="1">
      <alignment horizontal="left" vertical="center"/>
      <protection locked="0"/>
    </xf>
    <xf numFmtId="44" fontId="10" fillId="0" borderId="0" xfId="5" applyFont="1" applyFill="1" applyBorder="1" applyAlignment="1">
      <alignment horizontal="left"/>
    </xf>
    <xf numFmtId="0" fontId="10" fillId="0" borderId="0" xfId="0" applyFont="1" applyAlignment="1">
      <alignment horizontal="left" vertical="center"/>
    </xf>
    <xf numFmtId="0" fontId="10" fillId="0" borderId="0" xfId="0" applyFont="1" applyAlignment="1">
      <alignment horizontal="center" vertical="center"/>
    </xf>
    <xf numFmtId="0" fontId="8" fillId="16" borderId="4" xfId="0" applyFont="1" applyFill="1" applyBorder="1" applyAlignment="1" applyProtection="1">
      <alignment vertical="center"/>
      <protection locked="0"/>
    </xf>
    <xf numFmtId="0" fontId="8" fillId="16" borderId="5" xfId="0" applyFont="1" applyFill="1" applyBorder="1" applyAlignment="1" applyProtection="1">
      <alignment vertical="center"/>
      <protection locked="0"/>
    </xf>
    <xf numFmtId="0" fontId="8" fillId="0" borderId="29" xfId="0" applyFont="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44" fontId="10" fillId="0" borderId="0" xfId="5" applyFont="1" applyFill="1" applyBorder="1" applyAlignment="1" applyProtection="1">
      <alignment horizontal="center"/>
      <protection locked="0"/>
    </xf>
    <xf numFmtId="44" fontId="30" fillId="0" borderId="10" xfId="5" applyFont="1" applyFill="1" applyBorder="1" applyAlignment="1" applyProtection="1">
      <alignment horizontal="center" vertical="center" wrapText="1"/>
    </xf>
    <xf numFmtId="166" fontId="30" fillId="0" borderId="12" xfId="5" applyNumberFormat="1" applyFont="1" applyFill="1" applyBorder="1" applyAlignment="1">
      <alignment horizontal="center" vertical="center"/>
    </xf>
    <xf numFmtId="0" fontId="30" fillId="0" borderId="10" xfId="0" applyFont="1" applyBorder="1" applyAlignment="1">
      <alignment horizontal="center" vertical="center"/>
    </xf>
    <xf numFmtId="0" fontId="30" fillId="0" borderId="12" xfId="0" applyFont="1" applyBorder="1" applyAlignment="1">
      <alignment horizontal="center" vertical="center"/>
    </xf>
    <xf numFmtId="9" fontId="30" fillId="0" borderId="34" xfId="11" applyFont="1" applyFill="1" applyBorder="1" applyAlignment="1" applyProtection="1">
      <alignment horizontal="center" vertical="center"/>
      <protection locked="0"/>
    </xf>
    <xf numFmtId="44" fontId="30" fillId="0" borderId="22" xfId="5" applyFont="1" applyFill="1" applyBorder="1" applyAlignment="1" applyProtection="1">
      <alignment horizontal="center" vertical="center" wrapText="1"/>
    </xf>
    <xf numFmtId="166" fontId="30" fillId="0" borderId="24" xfId="5" applyNumberFormat="1" applyFont="1" applyFill="1" applyBorder="1" applyAlignment="1">
      <alignment horizontal="center" vertical="center"/>
    </xf>
    <xf numFmtId="164" fontId="23" fillId="0" borderId="8" xfId="0" applyNumberFormat="1" applyFont="1" applyBorder="1" applyAlignment="1" applyProtection="1">
      <alignment horizontal="center" vertical="center" wrapText="1"/>
      <protection hidden="1"/>
    </xf>
    <xf numFmtId="0" fontId="30" fillId="3" borderId="18" xfId="0" applyFont="1" applyFill="1" applyBorder="1" applyAlignment="1" applyProtection="1">
      <alignment horizontal="center"/>
      <protection locked="0"/>
    </xf>
    <xf numFmtId="0" fontId="30" fillId="3" borderId="17" xfId="0" applyFont="1" applyFill="1" applyBorder="1" applyAlignment="1" applyProtection="1">
      <alignment horizontal="center"/>
      <protection locked="0"/>
    </xf>
    <xf numFmtId="0" fontId="30" fillId="3" borderId="16" xfId="0" applyFont="1" applyFill="1" applyBorder="1" applyAlignment="1" applyProtection="1">
      <alignment horizontal="center" wrapText="1"/>
      <protection locked="0"/>
    </xf>
    <xf numFmtId="0" fontId="30" fillId="3" borderId="5" xfId="0" applyFont="1" applyFill="1" applyBorder="1" applyAlignment="1" applyProtection="1">
      <alignment horizontal="center" vertical="center"/>
      <protection hidden="1"/>
    </xf>
    <xf numFmtId="0" fontId="30" fillId="18" borderId="13" xfId="0" applyFont="1" applyFill="1" applyBorder="1" applyAlignment="1">
      <alignment horizontal="center" vertical="center"/>
    </xf>
    <xf numFmtId="0" fontId="30" fillId="18" borderId="13" xfId="0" applyFont="1" applyFill="1" applyBorder="1" applyProtection="1">
      <protection hidden="1"/>
    </xf>
    <xf numFmtId="0" fontId="30" fillId="18" borderId="13" xfId="0" applyFont="1" applyFill="1" applyBorder="1" applyAlignment="1" applyProtection="1">
      <alignment horizontal="left"/>
      <protection hidden="1"/>
    </xf>
    <xf numFmtId="0" fontId="30" fillId="18" borderId="2" xfId="0" applyFont="1" applyFill="1" applyBorder="1" applyAlignment="1" applyProtection="1">
      <alignment horizontal="center"/>
      <protection hidden="1"/>
    </xf>
    <xf numFmtId="0" fontId="30" fillId="0" borderId="1" xfId="0" applyFont="1" applyBorder="1" applyAlignment="1" applyProtection="1">
      <alignment horizontal="center" vertical="center"/>
      <protection hidden="1"/>
    </xf>
    <xf numFmtId="0" fontId="30" fillId="18" borderId="1" xfId="0" applyFont="1" applyFill="1" applyBorder="1" applyAlignment="1">
      <alignment horizontal="center" vertical="center"/>
    </xf>
    <xf numFmtId="0" fontId="30" fillId="18" borderId="1" xfId="0" applyFont="1" applyFill="1" applyBorder="1" applyProtection="1">
      <protection hidden="1"/>
    </xf>
    <xf numFmtId="0" fontId="30" fillId="18" borderId="1" xfId="0" applyFont="1" applyFill="1" applyBorder="1" applyAlignment="1" applyProtection="1">
      <alignment horizontal="left"/>
      <protection hidden="1"/>
    </xf>
    <xf numFmtId="0" fontId="30" fillId="18" borderId="3" xfId="0" applyFont="1" applyFill="1" applyBorder="1" applyAlignment="1" applyProtection="1">
      <alignment horizontal="center"/>
      <protection hidden="1"/>
    </xf>
    <xf numFmtId="44" fontId="30" fillId="0" borderId="0" xfId="5" applyFont="1" applyFill="1" applyBorder="1" applyAlignment="1" applyProtection="1">
      <alignment horizontal="center" vertical="center"/>
      <protection hidden="1"/>
    </xf>
    <xf numFmtId="0" fontId="30" fillId="3" borderId="1" xfId="0" applyFont="1" applyFill="1" applyBorder="1" applyAlignment="1" applyProtection="1">
      <alignment horizontal="center"/>
      <protection locked="0"/>
    </xf>
    <xf numFmtId="0" fontId="30" fillId="3" borderId="1" xfId="0" applyFont="1" applyFill="1" applyBorder="1" applyAlignment="1" applyProtection="1">
      <alignment horizontal="center" wrapText="1"/>
      <protection locked="0"/>
    </xf>
    <xf numFmtId="0" fontId="30" fillId="3" borderId="1" xfId="0" applyFont="1" applyFill="1" applyBorder="1" applyAlignment="1" applyProtection="1">
      <alignment horizontal="center" vertical="center"/>
      <protection hidden="1"/>
    </xf>
    <xf numFmtId="44" fontId="30" fillId="0" borderId="0" xfId="5" applyFont="1" applyFill="1" applyBorder="1" applyAlignment="1" applyProtection="1">
      <alignment horizontal="left" vertical="center"/>
      <protection hidden="1"/>
    </xf>
    <xf numFmtId="1" fontId="10" fillId="0" borderId="0" xfId="8" applyNumberFormat="1" applyFont="1" applyFill="1" applyAlignment="1">
      <alignment horizontal="center"/>
    </xf>
    <xf numFmtId="0" fontId="8" fillId="0" borderId="0" xfId="0" applyFont="1" applyAlignment="1">
      <alignment horizontal="center"/>
    </xf>
    <xf numFmtId="0" fontId="20" fillId="0" borderId="0" xfId="0" applyFont="1" applyAlignment="1">
      <alignment horizontal="center"/>
    </xf>
    <xf numFmtId="0" fontId="57" fillId="0" borderId="1" xfId="0" applyFont="1" applyBorder="1" applyAlignment="1">
      <alignment horizontal="center" vertical="center"/>
    </xf>
    <xf numFmtId="0" fontId="57" fillId="0" borderId="1" xfId="0" applyFont="1" applyBorder="1"/>
    <xf numFmtId="0" fontId="57" fillId="0" borderId="1" xfId="0" applyFont="1" applyBorder="1" applyAlignment="1">
      <alignment horizontal="left"/>
    </xf>
    <xf numFmtId="0" fontId="57" fillId="0" borderId="1" xfId="0" applyFont="1" applyBorder="1" applyAlignment="1">
      <alignment horizontal="center"/>
    </xf>
    <xf numFmtId="1" fontId="30" fillId="0" borderId="1" xfId="0" applyNumberFormat="1" applyFont="1" applyBorder="1" applyAlignment="1">
      <alignment horizontal="center" vertical="center"/>
    </xf>
    <xf numFmtId="44" fontId="57" fillId="19" borderId="0" xfId="5" applyFont="1" applyFill="1" applyBorder="1" applyAlignment="1" applyProtection="1">
      <alignment horizontal="center" vertical="center"/>
    </xf>
    <xf numFmtId="44" fontId="57" fillId="0" borderId="0" xfId="5" applyFont="1" applyFill="1" applyBorder="1" applyAlignment="1" applyProtection="1">
      <alignment horizontal="center" vertical="center"/>
    </xf>
    <xf numFmtId="44" fontId="57" fillId="0" borderId="0" xfId="5" applyFont="1" applyFill="1" applyAlignment="1" applyProtection="1"/>
    <xf numFmtId="44" fontId="57" fillId="0" borderId="0" xfId="5" applyFont="1" applyFill="1" applyAlignment="1" applyProtection="1">
      <alignment horizontal="center"/>
    </xf>
    <xf numFmtId="0" fontId="58" fillId="0" borderId="0" xfId="0" applyFont="1" applyAlignment="1">
      <alignment horizontal="center"/>
    </xf>
    <xf numFmtId="0" fontId="49" fillId="0" borderId="0" xfId="0" applyFont="1" applyAlignment="1">
      <alignment horizontal="center"/>
    </xf>
    <xf numFmtId="0" fontId="49" fillId="0" borderId="0" xfId="0" applyFont="1"/>
    <xf numFmtId="0" fontId="49" fillId="0" borderId="0" xfId="3" applyFont="1"/>
    <xf numFmtId="0" fontId="57" fillId="0" borderId="0" xfId="0" applyFont="1"/>
    <xf numFmtId="44" fontId="10" fillId="0" borderId="0" xfId="5" applyFont="1" applyFill="1" applyBorder="1" applyAlignment="1"/>
    <xf numFmtId="44" fontId="10" fillId="0" borderId="0" xfId="5" applyFont="1" applyFill="1" applyBorder="1" applyAlignment="1">
      <alignment horizontal="center"/>
    </xf>
    <xf numFmtId="0" fontId="10" fillId="0" borderId="0" xfId="0" applyFont="1" applyProtection="1">
      <protection locked="0"/>
    </xf>
    <xf numFmtId="0" fontId="10" fillId="0" borderId="0" xfId="0" applyFont="1" applyAlignment="1" applyProtection="1">
      <alignment horizontal="left"/>
      <protection locked="0"/>
    </xf>
    <xf numFmtId="44" fontId="10" fillId="0" borderId="0" xfId="5" applyFont="1" applyFill="1" applyAlignment="1">
      <alignment horizontal="center"/>
    </xf>
    <xf numFmtId="0" fontId="54" fillId="0" borderId="0" xfId="0" applyFont="1" applyAlignment="1">
      <alignment horizontal="center"/>
    </xf>
    <xf numFmtId="44" fontId="30" fillId="0" borderId="10" xfId="5" applyFont="1" applyFill="1" applyBorder="1" applyAlignment="1" applyProtection="1">
      <alignment horizontal="center" vertical="center"/>
    </xf>
    <xf numFmtId="0" fontId="54" fillId="0" borderId="0" xfId="0" applyFont="1"/>
    <xf numFmtId="0" fontId="23" fillId="0" borderId="0" xfId="0" applyFont="1" applyAlignment="1">
      <alignment horizontal="center"/>
    </xf>
    <xf numFmtId="0" fontId="23" fillId="0" borderId="0" xfId="0" applyFont="1"/>
    <xf numFmtId="0" fontId="30" fillId="0" borderId="0" xfId="0" applyFont="1" applyAlignment="1" applyProtection="1">
      <alignment horizontal="center"/>
      <protection locked="0"/>
    </xf>
    <xf numFmtId="0" fontId="30" fillId="0" borderId="0" xfId="0" applyFont="1" applyProtection="1">
      <protection locked="0"/>
    </xf>
    <xf numFmtId="0" fontId="30" fillId="3" borderId="3" xfId="0" applyFont="1" applyFill="1" applyBorder="1" applyAlignment="1" applyProtection="1">
      <alignment horizontal="center" vertical="center"/>
      <protection hidden="1"/>
    </xf>
    <xf numFmtId="44" fontId="30" fillId="0" borderId="50" xfId="5" applyFont="1" applyFill="1" applyBorder="1" applyAlignment="1" applyProtection="1">
      <alignment horizontal="center" vertical="center"/>
      <protection hidden="1"/>
    </xf>
    <xf numFmtId="1" fontId="10" fillId="0" borderId="0" xfId="8" applyNumberFormat="1" applyFont="1" applyFill="1" applyAlignment="1">
      <alignment horizontal="center" vertical="center"/>
    </xf>
    <xf numFmtId="0" fontId="0" fillId="0" borderId="0" xfId="0" applyAlignment="1" applyProtection="1">
      <alignment horizontal="center"/>
      <protection hidden="1"/>
    </xf>
    <xf numFmtId="0" fontId="51" fillId="21" borderId="39" xfId="10" applyAlignment="1" applyProtection="1">
      <protection hidden="1"/>
    </xf>
    <xf numFmtId="0" fontId="11" fillId="0" borderId="0" xfId="0" applyFont="1" applyProtection="1">
      <protection hidden="1"/>
    </xf>
    <xf numFmtId="1" fontId="0" fillId="0" borderId="0" xfId="8" applyNumberFormat="1" applyFont="1" applyAlignment="1" applyProtection="1">
      <alignment horizontal="center"/>
      <protection hidden="1"/>
    </xf>
    <xf numFmtId="0" fontId="0" fillId="0" borderId="53" xfId="0" applyBorder="1" applyProtection="1">
      <protection hidden="1"/>
    </xf>
    <xf numFmtId="9" fontId="0" fillId="0" borderId="54" xfId="0" applyNumberFormat="1" applyBorder="1" applyAlignment="1" applyProtection="1">
      <alignment horizontal="center"/>
      <protection hidden="1"/>
    </xf>
    <xf numFmtId="5" fontId="0" fillId="0" borderId="54" xfId="5" applyNumberFormat="1" applyFont="1" applyBorder="1" applyAlignment="1" applyProtection="1">
      <alignment horizontal="center"/>
      <protection hidden="1"/>
    </xf>
    <xf numFmtId="0" fontId="0" fillId="0" borderId="55" xfId="0" applyBorder="1" applyProtection="1">
      <protection hidden="1"/>
    </xf>
    <xf numFmtId="5" fontId="0" fillId="0" borderId="49" xfId="0" applyNumberFormat="1" applyBorder="1" applyAlignment="1" applyProtection="1">
      <alignment horizontal="center"/>
      <protection hidden="1"/>
    </xf>
    <xf numFmtId="5" fontId="0" fillId="0" borderId="0" xfId="0" applyNumberFormat="1" applyProtection="1">
      <protection hidden="1"/>
    </xf>
    <xf numFmtId="0" fontId="0" fillId="0" borderId="0" xfId="0" quotePrefix="1" applyProtection="1">
      <protection hidden="1"/>
    </xf>
    <xf numFmtId="0" fontId="0" fillId="0" borderId="19" xfId="0" applyBorder="1" applyProtection="1">
      <protection hidden="1"/>
    </xf>
    <xf numFmtId="9" fontId="0" fillId="0" borderId="21" xfId="11" applyFont="1" applyBorder="1" applyAlignment="1" applyProtection="1">
      <alignment horizontal="center"/>
      <protection hidden="1"/>
    </xf>
    <xf numFmtId="0" fontId="0" fillId="8" borderId="0" xfId="0" applyFill="1" applyProtection="1">
      <protection hidden="1"/>
    </xf>
    <xf numFmtId="9" fontId="51" fillId="21" borderId="54" xfId="11" applyFont="1" applyFill="1" applyBorder="1" applyAlignment="1" applyProtection="1">
      <alignment horizontal="center"/>
      <protection locked="0" hidden="1"/>
    </xf>
    <xf numFmtId="164" fontId="25" fillId="24" borderId="0" xfId="5" applyNumberFormat="1" applyFont="1" applyFill="1" applyAlignment="1" applyProtection="1">
      <alignment horizontal="center" vertical="center" wrapText="1"/>
      <protection hidden="1"/>
    </xf>
    <xf numFmtId="0" fontId="48" fillId="0" borderId="0" xfId="0" applyFont="1"/>
    <xf numFmtId="0" fontId="59" fillId="0" borderId="0" xfId="0" applyFont="1"/>
    <xf numFmtId="0" fontId="52" fillId="0" borderId="0" xfId="0" applyFont="1"/>
    <xf numFmtId="0" fontId="52" fillId="0" borderId="0" xfId="0" applyFont="1" applyAlignment="1">
      <alignment horizontal="center"/>
    </xf>
    <xf numFmtId="0" fontId="60" fillId="15" borderId="0" xfId="0" applyFont="1" applyFill="1" applyAlignment="1" applyProtection="1">
      <alignment horizontal="center"/>
      <protection locked="0"/>
    </xf>
    <xf numFmtId="0" fontId="48" fillId="0" borderId="0" xfId="0" applyFont="1" applyAlignment="1" applyProtection="1">
      <alignment horizontal="left" vertical="center"/>
      <protection locked="0"/>
    </xf>
    <xf numFmtId="0" fontId="48" fillId="0" borderId="0" xfId="0" applyFont="1" applyAlignment="1">
      <alignment horizontal="left"/>
    </xf>
    <xf numFmtId="164" fontId="61" fillId="0" borderId="25" xfId="0" applyNumberFormat="1" applyFont="1" applyBorder="1" applyAlignment="1" applyProtection="1">
      <alignment horizontal="center" vertical="center" wrapText="1"/>
      <protection hidden="1"/>
    </xf>
    <xf numFmtId="44" fontId="61" fillId="0" borderId="0" xfId="0" applyNumberFormat="1" applyFont="1" applyAlignment="1" applyProtection="1">
      <alignment horizontal="center" vertical="center" wrapText="1"/>
      <protection hidden="1"/>
    </xf>
    <xf numFmtId="0" fontId="62" fillId="0" borderId="0" xfId="0" applyFont="1" applyAlignment="1" applyProtection="1">
      <alignment horizontal="center"/>
      <protection locked="0"/>
    </xf>
    <xf numFmtId="0" fontId="62" fillId="0" borderId="0" xfId="0" applyFont="1" applyAlignment="1" applyProtection="1">
      <alignment horizontal="center" vertical="center"/>
      <protection hidden="1"/>
    </xf>
    <xf numFmtId="44" fontId="62" fillId="0" borderId="0" xfId="5" applyFont="1" applyBorder="1" applyAlignment="1">
      <alignment horizontal="center" vertical="center"/>
    </xf>
    <xf numFmtId="0" fontId="48" fillId="0" borderId="0" xfId="0" applyFont="1" applyAlignment="1" applyProtection="1">
      <alignment horizontal="center"/>
      <protection locked="0"/>
    </xf>
    <xf numFmtId="44" fontId="62" fillId="0" borderId="0" xfId="5" applyFont="1" applyFill="1" applyBorder="1" applyAlignment="1" applyProtection="1">
      <alignment horizontal="center" vertical="center" wrapText="1"/>
    </xf>
    <xf numFmtId="166" fontId="62" fillId="0" borderId="11" xfId="5" applyNumberFormat="1" applyFont="1" applyFill="1" applyBorder="1" applyAlignment="1">
      <alignment horizontal="center" vertical="center"/>
    </xf>
    <xf numFmtId="9" fontId="62" fillId="0" borderId="0" xfId="11" applyFont="1" applyFill="1" applyBorder="1" applyAlignment="1" applyProtection="1">
      <alignment horizontal="center" vertical="center"/>
      <protection locked="0"/>
    </xf>
    <xf numFmtId="0" fontId="43" fillId="0" borderId="0" xfId="0" applyFont="1" applyAlignment="1">
      <alignment horizontal="center"/>
    </xf>
    <xf numFmtId="0" fontId="43" fillId="0" borderId="0" xfId="0" applyFont="1" applyAlignment="1" applyProtection="1">
      <alignment horizontal="left"/>
      <protection locked="0"/>
    </xf>
    <xf numFmtId="0" fontId="62" fillId="0" borderId="0" xfId="2" applyFont="1" applyFill="1" applyBorder="1" applyAlignment="1" applyProtection="1">
      <alignment horizontal="left" vertical="top" wrapText="1"/>
    </xf>
    <xf numFmtId="0" fontId="62" fillId="0" borderId="25" xfId="0" applyFont="1" applyBorder="1" applyAlignment="1">
      <alignment horizontal="left" vertical="top" wrapText="1"/>
    </xf>
    <xf numFmtId="0" fontId="62" fillId="0" borderId="34" xfId="0" applyFont="1" applyBorder="1" applyAlignment="1">
      <alignment horizontal="left" vertical="top" wrapText="1"/>
    </xf>
    <xf numFmtId="164" fontId="61" fillId="0" borderId="0" xfId="0" applyNumberFormat="1" applyFont="1" applyAlignment="1" applyProtection="1">
      <alignment horizontal="center" vertical="center" wrapText="1"/>
      <protection hidden="1"/>
    </xf>
    <xf numFmtId="0" fontId="62" fillId="0" borderId="2" xfId="0" applyFont="1" applyBorder="1" applyAlignment="1" applyProtection="1">
      <alignment horizontal="center" vertical="center"/>
      <protection hidden="1"/>
    </xf>
    <xf numFmtId="0" fontId="62" fillId="0" borderId="50" xfId="0" applyFont="1" applyBorder="1" applyAlignment="1" applyProtection="1">
      <alignment horizontal="center" vertical="center"/>
      <protection hidden="1"/>
    </xf>
    <xf numFmtId="166" fontId="62" fillId="0" borderId="11" xfId="5" applyNumberFormat="1" applyFont="1" applyFill="1" applyBorder="1" applyAlignment="1">
      <alignment horizontal="center" vertical="center" wrapText="1"/>
    </xf>
    <xf numFmtId="1" fontId="25" fillId="24" borderId="27" xfId="5" applyNumberFormat="1" applyFont="1" applyFill="1" applyBorder="1" applyAlignment="1" applyProtection="1">
      <alignment horizontal="center" vertical="center" wrapText="1"/>
      <protection hidden="1"/>
    </xf>
    <xf numFmtId="0" fontId="63" fillId="0" borderId="0" xfId="0" applyFont="1"/>
    <xf numFmtId="49" fontId="63" fillId="0" borderId="0" xfId="0" applyNumberFormat="1" applyFont="1"/>
    <xf numFmtId="14" fontId="63" fillId="0" borderId="0" xfId="0" applyNumberFormat="1" applyFont="1"/>
    <xf numFmtId="0" fontId="64" fillId="0" borderId="0" xfId="0" applyFont="1"/>
    <xf numFmtId="0" fontId="11" fillId="0" borderId="0" xfId="0" applyFont="1"/>
    <xf numFmtId="0" fontId="65" fillId="0" borderId="0" xfId="0" applyFont="1"/>
    <xf numFmtId="0" fontId="10" fillId="0" borderId="0" xfId="0" applyFont="1" applyProtection="1">
      <protection hidden="1"/>
    </xf>
    <xf numFmtId="0" fontId="6" fillId="0" borderId="0" xfId="1" applyProtection="1">
      <protection hidden="1"/>
    </xf>
    <xf numFmtId="0" fontId="17" fillId="0" borderId="0" xfId="0" applyFont="1" applyProtection="1">
      <protection hidden="1"/>
    </xf>
    <xf numFmtId="0" fontId="49" fillId="0" borderId="0" xfId="6" applyFont="1" applyFill="1" applyAlignment="1" applyProtection="1">
      <protection hidden="1"/>
    </xf>
    <xf numFmtId="0" fontId="21" fillId="0" borderId="0" xfId="3" applyFont="1" applyProtection="1">
      <protection hidden="1"/>
    </xf>
    <xf numFmtId="0" fontId="26" fillId="0" borderId="0" xfId="0" applyFont="1" applyProtection="1">
      <protection hidden="1"/>
    </xf>
    <xf numFmtId="0" fontId="10" fillId="0" borderId="0" xfId="0" applyFont="1" applyAlignment="1" applyProtection="1">
      <alignment horizontal="center"/>
      <protection hidden="1"/>
    </xf>
    <xf numFmtId="0" fontId="27" fillId="0" borderId="3" xfId="0" applyFont="1" applyBorder="1" applyAlignment="1" applyProtection="1">
      <alignment horizontal="center"/>
      <protection locked="0"/>
    </xf>
    <xf numFmtId="49" fontId="27" fillId="0" borderId="1" xfId="0" applyNumberFormat="1" applyFont="1" applyBorder="1" applyAlignment="1" applyProtection="1">
      <alignment horizontal="center"/>
      <protection locked="0"/>
    </xf>
    <xf numFmtId="0" fontId="27" fillId="0" borderId="1" xfId="0" applyFont="1" applyBorder="1" applyAlignment="1" applyProtection="1">
      <alignment horizontal="center"/>
      <protection locked="0"/>
    </xf>
    <xf numFmtId="49" fontId="27" fillId="0" borderId="1" xfId="0" applyNumberFormat="1" applyFont="1" applyBorder="1" applyAlignment="1" applyProtection="1">
      <alignment horizontal="center"/>
      <protection hidden="1"/>
    </xf>
    <xf numFmtId="0" fontId="66" fillId="0" borderId="0" xfId="0" applyFont="1" applyAlignment="1">
      <alignment horizontal="left" vertical="top"/>
    </xf>
    <xf numFmtId="0" fontId="66" fillId="0" borderId="0" xfId="0" applyFont="1" applyAlignment="1">
      <alignment vertical="top"/>
    </xf>
    <xf numFmtId="0" fontId="68" fillId="0" borderId="0" xfId="0" applyFont="1" applyAlignment="1">
      <alignment horizontal="left" vertical="top"/>
    </xf>
    <xf numFmtId="0" fontId="68" fillId="0" borderId="0" xfId="0" applyFont="1" applyAlignment="1">
      <alignment vertical="top"/>
    </xf>
    <xf numFmtId="0" fontId="69" fillId="0" borderId="0" xfId="0" applyFont="1" applyAlignment="1">
      <alignment horizontal="left" vertical="top"/>
    </xf>
    <xf numFmtId="0" fontId="70" fillId="0" borderId="0" xfId="0" applyFont="1" applyAlignment="1">
      <alignment vertical="top"/>
    </xf>
    <xf numFmtId="0" fontId="69" fillId="0" borderId="0" xfId="0" applyFont="1" applyAlignment="1">
      <alignment vertical="top"/>
    </xf>
    <xf numFmtId="0" fontId="69" fillId="25" borderId="0" xfId="0" applyFont="1" applyFill="1" applyAlignment="1">
      <alignment horizontal="left" vertical="top"/>
    </xf>
    <xf numFmtId="0" fontId="69" fillId="28" borderId="0" xfId="0" applyFont="1" applyFill="1" applyAlignment="1">
      <alignment vertical="top"/>
    </xf>
    <xf numFmtId="0" fontId="69" fillId="26" borderId="0" xfId="0" applyFont="1" applyFill="1" applyAlignment="1">
      <alignment horizontal="left" vertical="top"/>
    </xf>
    <xf numFmtId="0" fontId="69" fillId="27" borderId="0" xfId="0" applyFont="1" applyFill="1" applyAlignment="1">
      <alignment horizontal="left" vertical="top"/>
    </xf>
    <xf numFmtId="0" fontId="55" fillId="0" borderId="0" xfId="0" applyFont="1"/>
    <xf numFmtId="168" fontId="67" fillId="0" borderId="0" xfId="0" applyNumberFormat="1" applyFont="1" applyAlignment="1">
      <alignment horizontal="center" vertical="top"/>
    </xf>
    <xf numFmtId="0" fontId="71" fillId="0" borderId="0" xfId="0" applyFont="1" applyAlignment="1">
      <alignment horizontal="center" vertical="top"/>
    </xf>
    <xf numFmtId="168" fontId="71" fillId="0" borderId="0" xfId="0" applyNumberFormat="1" applyFont="1" applyAlignment="1">
      <alignment horizontal="center" vertical="top"/>
    </xf>
    <xf numFmtId="168" fontId="72" fillId="0" borderId="0" xfId="0" applyNumberFormat="1" applyFont="1" applyAlignment="1">
      <alignment horizontal="center" vertical="top"/>
    </xf>
    <xf numFmtId="0" fontId="43" fillId="20" borderId="6" xfId="3" applyFont="1" applyFill="1" applyBorder="1" applyAlignment="1">
      <alignment horizontal="center"/>
    </xf>
    <xf numFmtId="0" fontId="43" fillId="20" borderId="7" xfId="3" applyFont="1" applyFill="1" applyBorder="1" applyAlignment="1">
      <alignment horizontal="center"/>
    </xf>
    <xf numFmtId="0" fontId="12" fillId="4" borderId="10" xfId="3" applyFont="1" applyFill="1" applyBorder="1" applyAlignment="1">
      <alignment horizontal="center"/>
    </xf>
    <xf numFmtId="0" fontId="12" fillId="4" borderId="11" xfId="3" applyFont="1" applyFill="1" applyBorder="1" applyAlignment="1">
      <alignment horizontal="center"/>
    </xf>
    <xf numFmtId="0" fontId="14" fillId="9" borderId="11" xfId="3" applyFont="1" applyFill="1" applyBorder="1" applyAlignment="1">
      <alignment horizontal="left"/>
    </xf>
    <xf numFmtId="165" fontId="33" fillId="8" borderId="23" xfId="5" applyNumberFormat="1" applyFont="1" applyFill="1" applyBorder="1" applyAlignment="1" applyProtection="1">
      <alignment vertical="top"/>
    </xf>
    <xf numFmtId="0" fontId="31" fillId="8" borderId="23" xfId="4" applyFont="1" applyFill="1" applyBorder="1" applyAlignment="1" applyProtection="1">
      <alignment horizontal="center" vertical="top" wrapText="1"/>
    </xf>
    <xf numFmtId="1" fontId="31" fillId="8" borderId="23" xfId="4" applyNumberFormat="1" applyFont="1" applyFill="1" applyBorder="1" applyAlignment="1" applyProtection="1">
      <alignment horizontal="center" vertical="top" wrapText="1"/>
    </xf>
    <xf numFmtId="0" fontId="31" fillId="8" borderId="23" xfId="4" applyFont="1" applyFill="1" applyBorder="1" applyAlignment="1" applyProtection="1">
      <alignment vertical="top" wrapText="1"/>
    </xf>
    <xf numFmtId="0" fontId="13" fillId="12" borderId="6" xfId="3" applyFont="1" applyFill="1" applyBorder="1" applyAlignment="1">
      <alignment horizontal="center" vertical="center"/>
    </xf>
    <xf numFmtId="0" fontId="13" fillId="12" borderId="7" xfId="3" applyFont="1" applyFill="1" applyBorder="1" applyAlignment="1">
      <alignment horizontal="center" vertical="center"/>
    </xf>
    <xf numFmtId="0" fontId="39" fillId="2" borderId="10" xfId="3" applyFont="1" applyFill="1" applyBorder="1" applyAlignment="1">
      <alignment horizontal="center"/>
    </xf>
    <xf numFmtId="0" fontId="39" fillId="2" borderId="11" xfId="3" applyFont="1" applyFill="1" applyBorder="1" applyAlignment="1">
      <alignment horizontal="center"/>
    </xf>
    <xf numFmtId="0" fontId="39" fillId="2" borderId="12" xfId="3" applyFont="1" applyFill="1" applyBorder="1" applyAlignment="1">
      <alignment horizontal="center"/>
    </xf>
    <xf numFmtId="0" fontId="19" fillId="2" borderId="0" xfId="3" applyFont="1" applyFill="1" applyAlignment="1">
      <alignment horizontal="left" vertical="top" wrapText="1"/>
    </xf>
    <xf numFmtId="0" fontId="19" fillId="2" borderId="34" xfId="3" applyFont="1" applyFill="1" applyBorder="1" applyAlignment="1">
      <alignment horizontal="left" vertical="top" wrapText="1"/>
    </xf>
    <xf numFmtId="0" fontId="38" fillId="19" borderId="6" xfId="3" applyFont="1" applyFill="1" applyBorder="1" applyAlignment="1">
      <alignment horizontal="center"/>
    </xf>
    <xf numFmtId="0" fontId="38" fillId="19" borderId="7" xfId="3" applyFont="1" applyFill="1" applyBorder="1" applyAlignment="1">
      <alignment horizontal="center"/>
    </xf>
    <xf numFmtId="0" fontId="38" fillId="19" borderId="8" xfId="3" applyFont="1" applyFill="1" applyBorder="1" applyAlignment="1">
      <alignment horizontal="center"/>
    </xf>
    <xf numFmtId="0" fontId="19" fillId="19" borderId="6" xfId="3" applyFont="1" applyFill="1" applyBorder="1" applyAlignment="1">
      <alignment horizontal="center"/>
    </xf>
    <xf numFmtId="0" fontId="19" fillId="19" borderId="7" xfId="3" applyFont="1" applyFill="1" applyBorder="1" applyAlignment="1">
      <alignment horizontal="center"/>
    </xf>
    <xf numFmtId="0" fontId="19" fillId="19" borderId="8" xfId="3" applyFont="1" applyFill="1" applyBorder="1" applyAlignment="1">
      <alignment horizontal="center"/>
    </xf>
    <xf numFmtId="0" fontId="35" fillId="19" borderId="3" xfId="3" applyFont="1" applyFill="1" applyBorder="1" applyAlignment="1">
      <alignment horizontal="left"/>
    </xf>
    <xf numFmtId="0" fontId="35" fillId="19" borderId="4" xfId="3" applyFont="1" applyFill="1" applyBorder="1" applyAlignment="1">
      <alignment horizontal="left"/>
    </xf>
    <xf numFmtId="0" fontId="35" fillId="19" borderId="5" xfId="3" applyFont="1" applyFill="1" applyBorder="1" applyAlignment="1">
      <alignment horizontal="left"/>
    </xf>
    <xf numFmtId="0" fontId="35" fillId="19" borderId="3" xfId="3" applyFont="1" applyFill="1" applyBorder="1" applyAlignment="1" applyProtection="1">
      <alignment horizontal="center"/>
      <protection hidden="1"/>
    </xf>
    <xf numFmtId="0" fontId="35" fillId="19" borderId="4" xfId="3" applyFont="1" applyFill="1" applyBorder="1" applyAlignment="1" applyProtection="1">
      <alignment horizontal="center"/>
      <protection hidden="1"/>
    </xf>
    <xf numFmtId="0" fontId="35" fillId="19" borderId="5" xfId="3" applyFont="1" applyFill="1" applyBorder="1" applyAlignment="1" applyProtection="1">
      <alignment horizontal="center"/>
      <protection hidden="1"/>
    </xf>
    <xf numFmtId="0" fontId="19" fillId="2" borderId="23" xfId="3" applyFont="1" applyFill="1" applyBorder="1" applyAlignment="1">
      <alignment wrapText="1"/>
    </xf>
    <xf numFmtId="0" fontId="19" fillId="2" borderId="24" xfId="3" applyFont="1" applyFill="1" applyBorder="1" applyAlignment="1">
      <alignment wrapText="1"/>
    </xf>
    <xf numFmtId="0" fontId="35" fillId="19" borderId="3" xfId="3" applyFont="1" applyFill="1" applyBorder="1" applyAlignment="1" applyProtection="1">
      <alignment horizontal="center"/>
      <protection locked="0"/>
    </xf>
    <xf numFmtId="0" fontId="35" fillId="19" borderId="4" xfId="3" applyFont="1" applyFill="1" applyBorder="1" applyAlignment="1" applyProtection="1">
      <alignment horizontal="center"/>
      <protection locked="0"/>
    </xf>
    <xf numFmtId="0" fontId="35" fillId="19" borderId="5" xfId="3" applyFont="1" applyFill="1" applyBorder="1" applyAlignment="1" applyProtection="1">
      <alignment horizontal="center"/>
      <protection locked="0"/>
    </xf>
    <xf numFmtId="49" fontId="35" fillId="19" borderId="3" xfId="3" applyNumberFormat="1" applyFont="1" applyFill="1" applyBorder="1" applyAlignment="1" applyProtection="1">
      <alignment horizontal="center"/>
      <protection locked="0"/>
    </xf>
    <xf numFmtId="49" fontId="35" fillId="19" borderId="4" xfId="3" applyNumberFormat="1" applyFont="1" applyFill="1" applyBorder="1" applyAlignment="1" applyProtection="1">
      <alignment horizontal="center"/>
      <protection locked="0"/>
    </xf>
    <xf numFmtId="49" fontId="35" fillId="19" borderId="5" xfId="3" applyNumberFormat="1" applyFont="1" applyFill="1" applyBorder="1" applyAlignment="1" applyProtection="1">
      <alignment horizontal="center"/>
      <protection locked="0"/>
    </xf>
    <xf numFmtId="0" fontId="35" fillId="19" borderId="3" xfId="3" applyFont="1" applyFill="1" applyBorder="1"/>
    <xf numFmtId="0" fontId="0" fillId="0" borderId="4" xfId="0" applyBorder="1"/>
    <xf numFmtId="0" fontId="0" fillId="0" borderId="5" xfId="0" applyBorder="1"/>
    <xf numFmtId="0" fontId="2" fillId="0" borderId="0" xfId="3" applyFont="1" applyAlignment="1">
      <alignment horizontal="left"/>
    </xf>
    <xf numFmtId="0" fontId="50" fillId="0" borderId="0" xfId="3" applyFont="1" applyAlignment="1" applyProtection="1">
      <alignment horizontal="center"/>
      <protection locked="0"/>
    </xf>
    <xf numFmtId="0" fontId="50" fillId="0" borderId="0" xfId="3" applyFont="1" applyAlignment="1">
      <alignment horizontal="center"/>
    </xf>
    <xf numFmtId="0" fontId="44" fillId="0" borderId="44" xfId="3" applyFont="1" applyBorder="1" applyAlignment="1">
      <alignment horizontal="center" vertical="center" wrapText="1"/>
    </xf>
    <xf numFmtId="0" fontId="44" fillId="0" borderId="45" xfId="3" applyFont="1" applyBorder="1" applyAlignment="1">
      <alignment horizontal="center" vertical="center" wrapText="1"/>
    </xf>
    <xf numFmtId="0" fontId="44" fillId="0" borderId="46" xfId="3" applyFont="1" applyBorder="1" applyAlignment="1">
      <alignment horizontal="center" vertical="center" wrapText="1"/>
    </xf>
    <xf numFmtId="0" fontId="7" fillId="3" borderId="3" xfId="0" applyFont="1" applyFill="1" applyBorder="1" applyAlignment="1" applyProtection="1">
      <alignment horizontal="center"/>
      <protection locked="0"/>
    </xf>
    <xf numFmtId="0" fontId="7" fillId="3" borderId="4" xfId="0" applyFont="1" applyFill="1" applyBorder="1" applyAlignment="1" applyProtection="1">
      <alignment horizontal="center"/>
      <protection locked="0"/>
    </xf>
    <xf numFmtId="0" fontId="7" fillId="3" borderId="5" xfId="0" applyFont="1" applyFill="1" applyBorder="1" applyAlignment="1" applyProtection="1">
      <alignment horizontal="center"/>
      <protection locked="0"/>
    </xf>
    <xf numFmtId="0" fontId="29" fillId="2" borderId="22" xfId="0" applyFont="1" applyFill="1" applyBorder="1" applyAlignment="1" applyProtection="1">
      <alignment horizontal="left"/>
      <protection locked="0"/>
    </xf>
    <xf numFmtId="0" fontId="29" fillId="2" borderId="23" xfId="0" applyFont="1" applyFill="1" applyBorder="1" applyAlignment="1" applyProtection="1">
      <alignment horizontal="left"/>
      <protection locked="0"/>
    </xf>
    <xf numFmtId="0" fontId="7" fillId="23" borderId="6" xfId="2" applyFont="1" applyFill="1" applyBorder="1" applyAlignment="1" applyProtection="1">
      <alignment horizontal="left" vertical="top" wrapText="1"/>
    </xf>
    <xf numFmtId="0" fontId="7" fillId="23" borderId="7" xfId="2" applyFont="1" applyFill="1" applyBorder="1" applyAlignment="1" applyProtection="1">
      <alignment horizontal="left" vertical="top" wrapText="1"/>
    </xf>
    <xf numFmtId="0" fontId="30" fillId="10" borderId="19" xfId="0" applyFont="1" applyFill="1" applyBorder="1" applyAlignment="1">
      <alignment horizontal="left" vertical="top" wrapText="1"/>
    </xf>
    <xf numFmtId="0" fontId="30" fillId="10" borderId="20" xfId="0" applyFont="1" applyFill="1" applyBorder="1" applyAlignment="1">
      <alignment horizontal="left" vertical="top" wrapText="1"/>
    </xf>
    <xf numFmtId="0" fontId="30" fillId="10" borderId="43" xfId="0" applyFont="1" applyFill="1" applyBorder="1" applyAlignment="1">
      <alignment horizontal="left" vertical="top" wrapText="1"/>
    </xf>
    <xf numFmtId="0" fontId="30" fillId="0" borderId="22" xfId="0" applyFont="1" applyBorder="1" applyAlignment="1">
      <alignment horizontal="center" vertical="center"/>
    </xf>
    <xf numFmtId="0" fontId="30" fillId="0" borderId="24" xfId="0" applyFont="1" applyBorder="1" applyAlignment="1">
      <alignment horizontal="center" vertical="center"/>
    </xf>
    <xf numFmtId="0" fontId="30" fillId="3" borderId="3" xfId="0" applyFont="1" applyFill="1" applyBorder="1" applyAlignment="1" applyProtection="1">
      <alignment horizontal="center"/>
      <protection locked="0"/>
    </xf>
    <xf numFmtId="0" fontId="30" fillId="3" borderId="4" xfId="0" applyFont="1" applyFill="1" applyBorder="1" applyAlignment="1" applyProtection="1">
      <alignment horizontal="center"/>
      <protection locked="0"/>
    </xf>
    <xf numFmtId="0" fontId="30" fillId="3" borderId="5" xfId="0" applyFont="1" applyFill="1" applyBorder="1" applyAlignment="1" applyProtection="1">
      <alignment horizontal="center"/>
      <protection locked="0"/>
    </xf>
    <xf numFmtId="0" fontId="30" fillId="3" borderId="40" xfId="0" applyFont="1" applyFill="1" applyBorder="1" applyAlignment="1" applyProtection="1">
      <alignment horizontal="center"/>
      <protection locked="0"/>
    </xf>
    <xf numFmtId="0" fontId="30" fillId="3" borderId="0" xfId="0" applyFont="1" applyFill="1" applyAlignment="1" applyProtection="1">
      <alignment horizontal="center"/>
      <protection locked="0"/>
    </xf>
    <xf numFmtId="0" fontId="56" fillId="4" borderId="25" xfId="0" applyFont="1" applyFill="1" applyBorder="1" applyAlignment="1">
      <alignment horizontal="center" vertical="center"/>
    </xf>
    <xf numFmtId="0" fontId="56" fillId="4" borderId="0" xfId="0" applyFont="1" applyFill="1" applyAlignment="1">
      <alignment horizontal="center" vertical="center"/>
    </xf>
    <xf numFmtId="0" fontId="13" fillId="17" borderId="25" xfId="0" applyFont="1" applyFill="1" applyBorder="1" applyAlignment="1">
      <alignment horizontal="center"/>
    </xf>
    <xf numFmtId="0" fontId="13" fillId="17" borderId="0" xfId="0" applyFont="1" applyFill="1" applyAlignment="1">
      <alignment horizontal="center"/>
    </xf>
    <xf numFmtId="0" fontId="10" fillId="7" borderId="25" xfId="0" applyFont="1" applyFill="1" applyBorder="1" applyAlignment="1">
      <alignment horizontal="left" vertical="center" wrapText="1"/>
    </xf>
    <xf numFmtId="0" fontId="10" fillId="7" borderId="0" xfId="0" applyFont="1" applyFill="1" applyAlignment="1">
      <alignment horizontal="left" vertical="center" wrapText="1"/>
    </xf>
    <xf numFmtId="0" fontId="10" fillId="7" borderId="25" xfId="0" applyFont="1" applyFill="1" applyBorder="1" applyAlignment="1">
      <alignment horizontal="left" vertical="top" wrapText="1"/>
    </xf>
    <xf numFmtId="0" fontId="10" fillId="7" borderId="0" xfId="0" applyFont="1" applyFill="1" applyAlignment="1">
      <alignment horizontal="left" vertical="top" wrapText="1"/>
    </xf>
    <xf numFmtId="0" fontId="8" fillId="16" borderId="4" xfId="0" applyFont="1" applyFill="1" applyBorder="1" applyAlignment="1" applyProtection="1">
      <alignment horizontal="left" vertical="center"/>
      <protection locked="0"/>
    </xf>
    <xf numFmtId="0" fontId="8" fillId="16" borderId="5" xfId="0" applyFont="1" applyFill="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10" fillId="0" borderId="33" xfId="0" applyFont="1" applyBorder="1" applyAlignment="1" applyProtection="1">
      <alignment horizontal="left" vertical="center"/>
      <protection locked="0"/>
    </xf>
    <xf numFmtId="0" fontId="10" fillId="0" borderId="3" xfId="0" applyFont="1" applyBorder="1" applyAlignment="1">
      <alignment horizontal="left"/>
    </xf>
    <xf numFmtId="0" fontId="10" fillId="0" borderId="5" xfId="0" applyFont="1" applyBorder="1" applyAlignment="1">
      <alignment horizontal="left"/>
    </xf>
    <xf numFmtId="0" fontId="8" fillId="5" borderId="25" xfId="0" applyFont="1" applyFill="1" applyBorder="1" applyAlignment="1" applyProtection="1">
      <alignment horizontal="center"/>
      <protection locked="0"/>
    </xf>
    <xf numFmtId="0" fontId="8" fillId="5" borderId="0" xfId="0" applyFont="1" applyFill="1" applyAlignment="1" applyProtection="1">
      <alignment horizontal="center"/>
      <protection locked="0"/>
    </xf>
    <xf numFmtId="0" fontId="23" fillId="0" borderId="6" xfId="0" applyFont="1" applyBorder="1" applyAlignment="1" applyProtection="1">
      <alignment vertical="center"/>
      <protection locked="0"/>
    </xf>
    <xf numFmtId="0" fontId="23" fillId="0" borderId="7" xfId="0" applyFont="1" applyBorder="1" applyAlignment="1" applyProtection="1">
      <alignment vertical="center"/>
      <protection locked="0"/>
    </xf>
    <xf numFmtId="0" fontId="23" fillId="0" borderId="8" xfId="0" applyFont="1" applyBorder="1" applyAlignment="1" applyProtection="1">
      <alignment vertical="center"/>
      <protection locked="0"/>
    </xf>
    <xf numFmtId="0" fontId="10" fillId="16" borderId="5" xfId="0" applyFont="1" applyFill="1" applyBorder="1" applyAlignment="1">
      <alignment horizontal="center"/>
    </xf>
    <xf numFmtId="0" fontId="10" fillId="16" borderId="1" xfId="0" applyFont="1" applyFill="1" applyBorder="1" applyAlignment="1">
      <alignment horizontal="center"/>
    </xf>
    <xf numFmtId="0" fontId="10" fillId="0" borderId="4" xfId="0" applyFont="1" applyBorder="1" applyAlignment="1">
      <alignment horizontal="left"/>
    </xf>
    <xf numFmtId="0" fontId="10" fillId="0" borderId="1" xfId="0" applyFont="1" applyBorder="1" applyAlignment="1">
      <alignment horizontal="left"/>
    </xf>
    <xf numFmtId="0" fontId="10" fillId="16" borderId="5" xfId="0" applyFont="1" applyFill="1" applyBorder="1" applyAlignment="1">
      <alignment horizontal="left"/>
    </xf>
    <xf numFmtId="0" fontId="10" fillId="16" borderId="1" xfId="0" applyFont="1" applyFill="1" applyBorder="1" applyAlignment="1">
      <alignment horizontal="left"/>
    </xf>
    <xf numFmtId="0" fontId="30" fillId="0" borderId="19" xfId="0" applyFont="1" applyBorder="1" applyAlignment="1">
      <alignment horizontal="left" vertical="top" wrapText="1"/>
    </xf>
    <xf numFmtId="0" fontId="30" fillId="0" borderId="20" xfId="0" applyFont="1" applyBorder="1" applyAlignment="1">
      <alignment horizontal="left" vertical="top" wrapText="1"/>
    </xf>
    <xf numFmtId="0" fontId="30" fillId="0" borderId="21" xfId="0" applyFont="1" applyBorder="1" applyAlignment="1">
      <alignment horizontal="left" vertical="top" wrapText="1"/>
    </xf>
    <xf numFmtId="0" fontId="54" fillId="2" borderId="22" xfId="0" applyFont="1" applyFill="1" applyBorder="1" applyAlignment="1" applyProtection="1">
      <alignment horizontal="left"/>
      <protection locked="0"/>
    </xf>
    <xf numFmtId="0" fontId="54" fillId="2" borderId="23" xfId="0" applyFont="1" applyFill="1" applyBorder="1" applyAlignment="1" applyProtection="1">
      <alignment horizontal="left"/>
      <protection locked="0"/>
    </xf>
    <xf numFmtId="0" fontId="54" fillId="2" borderId="24" xfId="0" applyFont="1" applyFill="1" applyBorder="1" applyAlignment="1" applyProtection="1">
      <alignment horizontal="left"/>
      <protection locked="0"/>
    </xf>
    <xf numFmtId="0" fontId="30" fillId="0" borderId="6" xfId="2" applyFont="1" applyFill="1" applyBorder="1" applyAlignment="1" applyProtection="1">
      <alignment horizontal="left" vertical="top" wrapText="1"/>
    </xf>
    <xf numFmtId="0" fontId="30" fillId="0" borderId="7" xfId="2" applyFont="1" applyFill="1" applyBorder="1" applyAlignment="1" applyProtection="1">
      <alignment horizontal="left" vertical="top" wrapText="1"/>
    </xf>
    <xf numFmtId="0" fontId="30" fillId="0" borderId="8" xfId="2" applyFont="1" applyFill="1" applyBorder="1" applyAlignment="1" applyProtection="1">
      <alignment horizontal="left" vertical="top" wrapText="1"/>
    </xf>
    <xf numFmtId="0" fontId="11" fillId="0" borderId="0" xfId="0" applyFont="1" applyAlignment="1">
      <alignment horizontal="center"/>
    </xf>
    <xf numFmtId="0" fontId="31" fillId="8" borderId="35" xfId="4" applyFont="1" applyFill="1" applyBorder="1" applyAlignment="1" applyProtection="1">
      <alignment horizontal="right" vertical="top" wrapText="1"/>
    </xf>
    <xf numFmtId="0" fontId="31" fillId="8" borderId="23" xfId="4" applyFont="1" applyFill="1" applyBorder="1" applyAlignment="1" applyProtection="1">
      <alignment horizontal="right" vertical="top" wrapText="1"/>
    </xf>
    <xf numFmtId="0" fontId="31" fillId="8" borderId="36" xfId="4" applyFont="1" applyFill="1" applyBorder="1" applyAlignment="1" applyProtection="1">
      <alignment horizontal="right" vertical="top" wrapText="1"/>
    </xf>
    <xf numFmtId="164" fontId="33" fillId="8" borderId="35" xfId="5" applyNumberFormat="1" applyFont="1" applyFill="1" applyBorder="1" applyAlignment="1" applyProtection="1">
      <alignment horizontal="left" vertical="top"/>
    </xf>
    <xf numFmtId="164" fontId="33" fillId="8" borderId="23" xfId="5" applyNumberFormat="1" applyFont="1" applyFill="1" applyBorder="1" applyAlignment="1" applyProtection="1">
      <alignment horizontal="left" vertical="top"/>
    </xf>
    <xf numFmtId="0" fontId="1" fillId="0" borderId="0" xfId="3" applyFont="1" applyAlignment="1">
      <alignment horizontal="left"/>
    </xf>
    <xf numFmtId="0" fontId="35" fillId="19" borderId="32" xfId="3" applyFont="1" applyFill="1" applyBorder="1" applyAlignment="1">
      <alignment horizontal="center"/>
    </xf>
    <xf numFmtId="0" fontId="35" fillId="19" borderId="38" xfId="3" applyFont="1" applyFill="1" applyBorder="1" applyAlignment="1">
      <alignment horizontal="center"/>
    </xf>
    <xf numFmtId="0" fontId="35" fillId="19" borderId="33" xfId="3" applyFont="1" applyFill="1" applyBorder="1" applyAlignment="1">
      <alignment horizontal="center"/>
    </xf>
    <xf numFmtId="0" fontId="29" fillId="2" borderId="24" xfId="0" applyFont="1" applyFill="1" applyBorder="1" applyAlignment="1" applyProtection="1">
      <alignment horizontal="left"/>
      <protection locked="0"/>
    </xf>
    <xf numFmtId="0" fontId="7" fillId="9" borderId="10"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28" fillId="9" borderId="35" xfId="7" applyFill="1" applyBorder="1" applyAlignment="1" applyProtection="1">
      <alignment horizontal="center"/>
      <protection hidden="1"/>
    </xf>
    <xf numFmtId="0" fontId="28" fillId="9" borderId="23" xfId="7" applyFill="1" applyBorder="1" applyAlignment="1" applyProtection="1">
      <alignment horizontal="center"/>
      <protection hidden="1"/>
    </xf>
    <xf numFmtId="0" fontId="28" fillId="9" borderId="24" xfId="7" applyFill="1" applyBorder="1" applyAlignment="1" applyProtection="1">
      <alignment horizontal="center"/>
      <protection hidden="1"/>
    </xf>
    <xf numFmtId="0" fontId="7" fillId="23" borderId="8" xfId="2" applyFont="1" applyFill="1" applyBorder="1" applyAlignment="1" applyProtection="1">
      <alignment horizontal="left" vertical="top" wrapText="1"/>
    </xf>
    <xf numFmtId="0" fontId="30" fillId="10" borderId="21" xfId="0" applyFont="1" applyFill="1" applyBorder="1" applyAlignment="1">
      <alignment horizontal="left" vertical="top" wrapText="1"/>
    </xf>
    <xf numFmtId="0" fontId="30" fillId="0" borderId="48" xfId="0" applyFont="1" applyBorder="1" applyAlignment="1">
      <alignment horizontal="left" vertical="top" wrapText="1"/>
    </xf>
    <xf numFmtId="0" fontId="30" fillId="0" borderId="49" xfId="0" applyFont="1" applyBorder="1" applyAlignment="1">
      <alignment horizontal="left" vertical="top" wrapText="1"/>
    </xf>
    <xf numFmtId="0" fontId="23" fillId="0" borderId="6" xfId="0" applyFont="1" applyBorder="1" applyAlignment="1" applyProtection="1">
      <alignment horizontal="left" vertical="center"/>
      <protection locked="0"/>
    </xf>
    <xf numFmtId="0" fontId="23" fillId="0" borderId="7" xfId="0" applyFont="1" applyBorder="1" applyAlignment="1" applyProtection="1">
      <alignment horizontal="left" vertical="center"/>
      <protection locked="0"/>
    </xf>
    <xf numFmtId="0" fontId="23" fillId="0" borderId="8" xfId="0" applyFont="1" applyBorder="1" applyAlignment="1" applyProtection="1">
      <alignment horizontal="left" vertical="center"/>
      <protection locked="0"/>
    </xf>
    <xf numFmtId="0" fontId="0" fillId="0" borderId="51" xfId="0" applyBorder="1" applyAlignment="1" applyProtection="1">
      <alignment horizontal="center"/>
      <protection hidden="1"/>
    </xf>
    <xf numFmtId="0" fontId="0" fillId="0" borderId="52" xfId="0" applyBorder="1" applyAlignment="1" applyProtection="1">
      <alignment horizontal="center"/>
      <protection hidden="1"/>
    </xf>
    <xf numFmtId="0" fontId="11" fillId="0" borderId="0" xfId="0" applyFont="1" applyAlignment="1" applyProtection="1">
      <alignment horizontal="center"/>
      <protection hidden="1"/>
    </xf>
  </cellXfs>
  <cellStyles count="12">
    <cellStyle name="Bad" xfId="6" builtinId="27"/>
    <cellStyle name="Comma" xfId="8" builtinId="3"/>
    <cellStyle name="Currency" xfId="5" builtinId="4"/>
    <cellStyle name="Hyperlink" xfId="7" builtinId="8"/>
    <cellStyle name="Input" xfId="10" builtinId="20"/>
    <cellStyle name="Normal" xfId="0" builtinId="0"/>
    <cellStyle name="Normal 2" xfId="1" xr:uid="{C92757F5-78B0-40F5-B23A-4683ED50DCCA}"/>
    <cellStyle name="Normal 3" xfId="3" xr:uid="{6EECDA53-98E3-46A4-AA39-F5EAFE758817}"/>
    <cellStyle name="Normal 4" xfId="9" xr:uid="{FF534785-6D8C-44D7-A78E-21EE6F12C99D}"/>
    <cellStyle name="Note 2" xfId="2" xr:uid="{E0C8FF13-C939-491C-B2FB-FFE887358C01}"/>
    <cellStyle name="Note 3" xfId="4" xr:uid="{B47EB8EB-79A6-4A0A-BD88-FA605571F1CB}"/>
    <cellStyle name="Percent" xfId="11" builtinId="5"/>
  </cellStyles>
  <dxfs count="20">
    <dxf>
      <font>
        <b/>
        <i val="0"/>
      </font>
      <fill>
        <patternFill>
          <bgColor rgb="FFFF9999"/>
        </patternFill>
      </fill>
    </dxf>
    <dxf>
      <font>
        <b/>
        <i val="0"/>
      </font>
      <fill>
        <patternFill>
          <bgColor rgb="FFFF9999"/>
        </patternFill>
      </fill>
    </dxf>
    <dxf>
      <font>
        <color rgb="FF9C0006"/>
      </font>
      <fill>
        <patternFill>
          <bgColor rgb="FFFFC7CE"/>
        </patternFill>
      </fill>
    </dxf>
    <dxf>
      <fill>
        <patternFill>
          <bgColor rgb="FFA3E7FF"/>
        </patternFill>
      </fill>
    </dxf>
    <dxf>
      <fill>
        <patternFill>
          <bgColor rgb="FFFFC000"/>
        </patternFill>
      </fill>
    </dxf>
    <dxf>
      <fill>
        <patternFill>
          <bgColor rgb="FFFF9999"/>
        </patternFill>
      </fill>
    </dxf>
    <dxf>
      <font>
        <color rgb="FFC6E0B4"/>
      </font>
    </dxf>
    <dxf>
      <fill>
        <patternFill>
          <bgColor rgb="FFFFC000"/>
        </patternFill>
      </fill>
    </dxf>
    <dxf>
      <fill>
        <patternFill>
          <bgColor rgb="FFA3E7FF"/>
        </patternFill>
      </fill>
    </dxf>
    <dxf>
      <font>
        <b/>
        <i val="0"/>
      </font>
      <fill>
        <patternFill>
          <bgColor rgb="FFC6E0B4"/>
        </patternFill>
      </fill>
    </dxf>
    <dxf>
      <font>
        <color rgb="FF9C0006"/>
      </font>
      <fill>
        <patternFill>
          <bgColor rgb="FFFFC7CE"/>
        </patternFill>
      </fill>
    </dxf>
    <dxf>
      <fill>
        <patternFill>
          <bgColor rgb="FFFFC000"/>
        </patternFill>
      </fill>
    </dxf>
    <dxf>
      <fill>
        <patternFill>
          <bgColor rgb="FF75DBFF"/>
        </patternFill>
      </fill>
    </dxf>
    <dxf>
      <fill>
        <patternFill>
          <bgColor rgb="FFFFC000"/>
        </patternFill>
      </fill>
    </dxf>
    <dxf>
      <fill>
        <patternFill>
          <bgColor rgb="FFA3E7FF"/>
        </patternFill>
      </fill>
    </dxf>
    <dxf>
      <fill>
        <patternFill>
          <bgColor rgb="FFFF9999"/>
        </patternFill>
      </fill>
    </dxf>
    <dxf>
      <font>
        <color theme="9" tint="0.59996337778862885"/>
      </font>
    </dxf>
    <dxf>
      <fill>
        <patternFill>
          <bgColor rgb="FFA3E7FF"/>
        </patternFill>
      </fill>
    </dxf>
    <dxf>
      <fill>
        <patternFill>
          <bgColor rgb="FFFFC000"/>
        </patternFill>
      </fill>
    </dxf>
    <dxf>
      <font>
        <b/>
        <i val="0"/>
        <color auto="1"/>
      </font>
      <fill>
        <patternFill>
          <bgColor theme="9" tint="0.59996337778862885"/>
        </patternFill>
      </fill>
    </dxf>
  </dxfs>
  <tableStyles count="0" defaultTableStyle="TableStyleMedium2" defaultPivotStyle="PivotStyleLight16"/>
  <colors>
    <mruColors>
      <color rgb="FFFF9999"/>
      <color rgb="FFFFC000"/>
      <color rgb="FFA3E7FF"/>
      <color rgb="FFC6E0B4"/>
      <color rgb="FFA9D08E"/>
      <color rgb="FF75DBFF"/>
      <color rgb="FFFFA48F"/>
      <color rgb="FFFFFFCC"/>
      <color rgb="FF0000FF"/>
      <color rgb="FF1F0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7</xdr:col>
      <xdr:colOff>133351</xdr:colOff>
      <xdr:row>5</xdr:row>
      <xdr:rowOff>92064</xdr:rowOff>
    </xdr:to>
    <xdr:pic>
      <xdr:nvPicPr>
        <xdr:cNvPr id="3" name="Picture 2">
          <a:extLst>
            <a:ext uri="{FF2B5EF4-FFF2-40B4-BE49-F238E27FC236}">
              <a16:creationId xmlns:a16="http://schemas.microsoft.com/office/drawing/2014/main" id="{D81FA2F9-C7B1-8B53-C3D0-6C381CFF82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26" y="200025"/>
          <a:ext cx="4152900" cy="844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304800</xdr:colOff>
          <xdr:row>43</xdr:row>
          <xdr:rowOff>323850</xdr:rowOff>
        </xdr:from>
        <xdr:to>
          <xdr:col>3</xdr:col>
          <xdr:colOff>638175</xdr:colOff>
          <xdr:row>45</xdr:row>
          <xdr:rowOff>114300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48</xdr:row>
          <xdr:rowOff>314325</xdr:rowOff>
        </xdr:from>
        <xdr:to>
          <xdr:col>3</xdr:col>
          <xdr:colOff>342900</xdr:colOff>
          <xdr:row>50</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48</xdr:row>
          <xdr:rowOff>314325</xdr:rowOff>
        </xdr:from>
        <xdr:to>
          <xdr:col>3</xdr:col>
          <xdr:colOff>342900</xdr:colOff>
          <xdr:row>50</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1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48</xdr:row>
          <xdr:rowOff>314325</xdr:rowOff>
        </xdr:from>
        <xdr:to>
          <xdr:col>3</xdr:col>
          <xdr:colOff>342900</xdr:colOff>
          <xdr:row>50</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1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50</xdr:row>
          <xdr:rowOff>228600</xdr:rowOff>
        </xdr:from>
        <xdr:to>
          <xdr:col>3</xdr:col>
          <xdr:colOff>266700</xdr:colOff>
          <xdr:row>52</xdr:row>
          <xdr:rowOff>114300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1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49</xdr:row>
          <xdr:rowOff>314325</xdr:rowOff>
        </xdr:from>
        <xdr:to>
          <xdr:col>3</xdr:col>
          <xdr:colOff>342900</xdr:colOff>
          <xdr:row>51</xdr:row>
          <xdr:rowOff>85725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5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49</xdr:row>
          <xdr:rowOff>314325</xdr:rowOff>
        </xdr:from>
        <xdr:to>
          <xdr:col>3</xdr:col>
          <xdr:colOff>342900</xdr:colOff>
          <xdr:row>51</xdr:row>
          <xdr:rowOff>85725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5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51</xdr:row>
          <xdr:rowOff>228600</xdr:rowOff>
        </xdr:from>
        <xdr:to>
          <xdr:col>3</xdr:col>
          <xdr:colOff>266700</xdr:colOff>
          <xdr:row>53</xdr:row>
          <xdr:rowOff>104775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5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44</xdr:row>
          <xdr:rowOff>323850</xdr:rowOff>
        </xdr:from>
        <xdr:to>
          <xdr:col>3</xdr:col>
          <xdr:colOff>638175</xdr:colOff>
          <xdr:row>46</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5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48</xdr:row>
          <xdr:rowOff>314325</xdr:rowOff>
        </xdr:from>
        <xdr:to>
          <xdr:col>3</xdr:col>
          <xdr:colOff>342900</xdr:colOff>
          <xdr:row>50</xdr:row>
          <xdr:rowOff>85725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48</xdr:row>
          <xdr:rowOff>314325</xdr:rowOff>
        </xdr:from>
        <xdr:to>
          <xdr:col>3</xdr:col>
          <xdr:colOff>342900</xdr:colOff>
          <xdr:row>50</xdr:row>
          <xdr:rowOff>85725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48</xdr:row>
          <xdr:rowOff>314325</xdr:rowOff>
        </xdr:from>
        <xdr:to>
          <xdr:col>3</xdr:col>
          <xdr:colOff>342900</xdr:colOff>
          <xdr:row>50</xdr:row>
          <xdr:rowOff>85725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6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48</xdr:row>
          <xdr:rowOff>314325</xdr:rowOff>
        </xdr:from>
        <xdr:to>
          <xdr:col>3</xdr:col>
          <xdr:colOff>342900</xdr:colOff>
          <xdr:row>50</xdr:row>
          <xdr:rowOff>85725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6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50</xdr:row>
          <xdr:rowOff>228600</xdr:rowOff>
        </xdr:from>
        <xdr:to>
          <xdr:col>3</xdr:col>
          <xdr:colOff>266700</xdr:colOff>
          <xdr:row>52</xdr:row>
          <xdr:rowOff>95250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6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43</xdr:row>
          <xdr:rowOff>323850</xdr:rowOff>
        </xdr:from>
        <xdr:to>
          <xdr:col>3</xdr:col>
          <xdr:colOff>638175</xdr:colOff>
          <xdr:row>45</xdr:row>
          <xdr:rowOff>114300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6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healthfirst.com/mckesson/term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drawing" Target="../drawings/drawing4.xml"/><Relationship Id="rId7" Type="http://schemas.openxmlformats.org/officeDocument/2006/relationships/ctrlProp" Target="../ctrlProps/ctrlProp12.xml"/><Relationship Id="rId2" Type="http://schemas.openxmlformats.org/officeDocument/2006/relationships/printerSettings" Target="../printerSettings/printerSettings6.bin"/><Relationship Id="rId1" Type="http://schemas.openxmlformats.org/officeDocument/2006/relationships/hyperlink" Target="https://www.healthfirst.com/henryschein/crash-cart-terms-conditions/" TargetMode="External"/><Relationship Id="rId6" Type="http://schemas.openxmlformats.org/officeDocument/2006/relationships/ctrlProp" Target="../ctrlProps/ctrlProp11.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healthfirst.com/store/medication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2B71-C9F9-4773-B629-45AD4BC8A3E4}">
  <sheetPr>
    <tabColor rgb="FFFF0000"/>
    <pageSetUpPr fitToPage="1"/>
  </sheetPr>
  <dimension ref="A8:B12"/>
  <sheetViews>
    <sheetView workbookViewId="0">
      <selection activeCell="E29" sqref="E29:K29"/>
    </sheetView>
  </sheetViews>
  <sheetFormatPr defaultRowHeight="15" x14ac:dyDescent="0.25"/>
  <cols>
    <col min="1" max="1" width="16.85546875" customWidth="1"/>
    <col min="2" max="2" width="14.7109375" bestFit="1" customWidth="1"/>
  </cols>
  <sheetData>
    <row r="8" spans="1:2" ht="23.25" x14ac:dyDescent="0.35">
      <c r="A8" s="259" t="s">
        <v>173</v>
      </c>
      <c r="B8" s="256"/>
    </row>
    <row r="9" spans="1:2" ht="23.25" x14ac:dyDescent="0.35">
      <c r="A9" s="259" t="s">
        <v>174</v>
      </c>
      <c r="B9" s="257"/>
    </row>
    <row r="10" spans="1:2" ht="23.25" x14ac:dyDescent="0.35">
      <c r="A10" s="259" t="s">
        <v>176</v>
      </c>
      <c r="B10" s="258"/>
    </row>
    <row r="11" spans="1:2" ht="23.25" x14ac:dyDescent="0.35">
      <c r="A11" s="259" t="s">
        <v>177</v>
      </c>
    </row>
    <row r="12" spans="1:2" x14ac:dyDescent="0.25">
      <c r="A12" s="26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F4E3-46BF-40ED-AE0A-DB7A9FD2793D}">
  <sheetPr codeName="Sheet11" filterMode="1"/>
  <dimension ref="A1:I201"/>
  <sheetViews>
    <sheetView zoomScale="110" zoomScaleNormal="110" workbookViewId="0">
      <pane ySplit="1" topLeftCell="A3" activePane="bottomLeft" state="frozen"/>
      <selection activeCell="F34" sqref="F34:F169"/>
      <selection pane="bottomLeft" activeCell="F34" sqref="F34:F169"/>
    </sheetView>
  </sheetViews>
  <sheetFormatPr defaultRowHeight="15" x14ac:dyDescent="0.25"/>
  <cols>
    <col min="1" max="1" width="31" customWidth="1"/>
    <col min="2" max="2" width="83" customWidth="1"/>
    <col min="3" max="3" width="17.5703125" customWidth="1"/>
    <col min="4" max="4" width="13.28515625" bestFit="1" customWidth="1"/>
    <col min="5" max="5" width="31.140625" bestFit="1" customWidth="1"/>
    <col min="6" max="6" width="12.7109375" bestFit="1" customWidth="1"/>
    <col min="7" max="7" width="22.85546875" bestFit="1" customWidth="1"/>
    <col min="8" max="8" width="18.140625" bestFit="1" customWidth="1"/>
    <col min="9" max="9" width="17.42578125" style="230" customWidth="1"/>
  </cols>
  <sheetData>
    <row r="1" spans="1:9" ht="15.75" x14ac:dyDescent="0.25">
      <c r="A1" s="232" t="s">
        <v>75</v>
      </c>
      <c r="B1" s="232" t="s">
        <v>123</v>
      </c>
      <c r="C1" s="233" t="s">
        <v>79</v>
      </c>
      <c r="D1" s="232" t="s">
        <v>120</v>
      </c>
      <c r="E1" s="232" t="s">
        <v>74</v>
      </c>
      <c r="F1" s="232" t="s">
        <v>73</v>
      </c>
      <c r="G1" s="232" t="s">
        <v>121</v>
      </c>
      <c r="H1" s="232" t="s">
        <v>122</v>
      </c>
      <c r="I1" s="284" t="s">
        <v>156</v>
      </c>
    </row>
    <row r="2" spans="1:9" hidden="1" x14ac:dyDescent="0.25">
      <c r="A2" s="277" t="str">
        <f>"HEADER "&amp;B2</f>
        <v>HEADER ADENOSINE</v>
      </c>
      <c r="B2" s="278" t="s">
        <v>1108</v>
      </c>
      <c r="C2" s="279"/>
      <c r="D2" s="279"/>
      <c r="E2" s="279"/>
      <c r="F2" s="279"/>
      <c r="G2" s="277"/>
      <c r="H2" s="277"/>
      <c r="I2" s="286"/>
    </row>
    <row r="3" spans="1:9" x14ac:dyDescent="0.25">
      <c r="A3" s="277">
        <v>1020490</v>
      </c>
      <c r="B3" s="279" t="s">
        <v>1109</v>
      </c>
      <c r="C3" s="277" t="s">
        <v>1110</v>
      </c>
      <c r="D3" s="279" t="s">
        <v>1111</v>
      </c>
      <c r="E3" s="279" t="s">
        <v>1112</v>
      </c>
      <c r="F3" s="279" t="s">
        <v>1113</v>
      </c>
      <c r="G3" s="277" t="s">
        <v>1114</v>
      </c>
      <c r="H3" s="277" t="s">
        <v>1115</v>
      </c>
      <c r="I3" s="287">
        <v>10.95</v>
      </c>
    </row>
    <row r="4" spans="1:9" x14ac:dyDescent="0.25">
      <c r="A4" s="277">
        <v>1012700</v>
      </c>
      <c r="B4" s="279" t="s">
        <v>1116</v>
      </c>
      <c r="C4" s="277" t="s">
        <v>1110</v>
      </c>
      <c r="D4" s="279" t="s">
        <v>1117</v>
      </c>
      <c r="E4" s="279" t="s">
        <v>1112</v>
      </c>
      <c r="F4" s="279" t="s">
        <v>1118</v>
      </c>
      <c r="G4" s="277" t="s">
        <v>1114</v>
      </c>
      <c r="H4" s="277" t="s">
        <v>1115</v>
      </c>
      <c r="I4" s="287">
        <v>24.97</v>
      </c>
    </row>
    <row r="5" spans="1:9" x14ac:dyDescent="0.25">
      <c r="A5" s="277">
        <v>1021740</v>
      </c>
      <c r="B5" s="279" t="s">
        <v>1119</v>
      </c>
      <c r="C5" s="277" t="s">
        <v>1110</v>
      </c>
      <c r="D5" s="279" t="s">
        <v>1120</v>
      </c>
      <c r="E5" s="279" t="s">
        <v>1112</v>
      </c>
      <c r="F5" s="279" t="s">
        <v>1118</v>
      </c>
      <c r="G5" s="277" t="s">
        <v>1114</v>
      </c>
      <c r="H5" s="277" t="s">
        <v>1115</v>
      </c>
      <c r="I5" s="287">
        <v>25.9</v>
      </c>
    </row>
    <row r="6" spans="1:9" hidden="1" x14ac:dyDescent="0.25">
      <c r="A6" s="277" t="str">
        <f>"HEADER "&amp;B6</f>
        <v>HEADER ALBUTEROL</v>
      </c>
      <c r="B6" s="278" t="s">
        <v>1121</v>
      </c>
      <c r="C6" s="279"/>
      <c r="D6" s="279"/>
      <c r="E6" s="279"/>
      <c r="F6" s="279"/>
      <c r="G6" s="277"/>
      <c r="H6" s="277"/>
      <c r="I6" s="286"/>
    </row>
    <row r="7" spans="1:9" x14ac:dyDescent="0.25">
      <c r="A7" s="277">
        <v>1000700</v>
      </c>
      <c r="B7" s="279" t="s">
        <v>1122</v>
      </c>
      <c r="C7" s="277" t="s">
        <v>1110</v>
      </c>
      <c r="D7" s="279" t="s">
        <v>1123</v>
      </c>
      <c r="E7" s="279" t="s">
        <v>1124</v>
      </c>
      <c r="F7" s="279" t="s">
        <v>1125</v>
      </c>
      <c r="G7" s="277" t="s">
        <v>1114</v>
      </c>
      <c r="H7" s="277" t="s">
        <v>1115</v>
      </c>
      <c r="I7" s="287">
        <v>22.72</v>
      </c>
    </row>
    <row r="8" spans="1:9" hidden="1" x14ac:dyDescent="0.25">
      <c r="A8" s="277" t="str">
        <f>"HEADER "&amp;B8</f>
        <v>HEADER AMINOPHYLLINE</v>
      </c>
      <c r="B8" s="278" t="s">
        <v>1126</v>
      </c>
      <c r="C8" s="279"/>
      <c r="D8" s="279"/>
      <c r="E8" s="279"/>
      <c r="F8" s="279"/>
      <c r="G8" s="277"/>
      <c r="H8" s="277"/>
      <c r="I8" s="286"/>
    </row>
    <row r="9" spans="1:9" x14ac:dyDescent="0.25">
      <c r="A9" s="277">
        <v>1000050</v>
      </c>
      <c r="B9" s="279" t="s">
        <v>1127</v>
      </c>
      <c r="C9" s="277" t="s">
        <v>1110</v>
      </c>
      <c r="D9" s="279" t="s">
        <v>1128</v>
      </c>
      <c r="E9" s="279" t="s">
        <v>1129</v>
      </c>
      <c r="F9" s="279" t="s">
        <v>1130</v>
      </c>
      <c r="G9" s="277" t="s">
        <v>1114</v>
      </c>
      <c r="H9" s="277" t="s">
        <v>1115</v>
      </c>
      <c r="I9" s="287">
        <v>24.1828</v>
      </c>
    </row>
    <row r="10" spans="1:9" x14ac:dyDescent="0.25">
      <c r="A10" s="277">
        <v>1010140</v>
      </c>
      <c r="B10" s="279" t="s">
        <v>1131</v>
      </c>
      <c r="C10" s="277" t="s">
        <v>1110</v>
      </c>
      <c r="D10" s="279" t="s">
        <v>1132</v>
      </c>
      <c r="E10" s="279" t="s">
        <v>1129</v>
      </c>
      <c r="F10" s="279" t="s">
        <v>1133</v>
      </c>
      <c r="G10" s="277" t="s">
        <v>1114</v>
      </c>
      <c r="H10" s="277" t="s">
        <v>1115</v>
      </c>
      <c r="I10" s="287">
        <v>15.5608</v>
      </c>
    </row>
    <row r="11" spans="1:9" hidden="1" x14ac:dyDescent="0.25">
      <c r="A11" s="277" t="str">
        <f>"HEADER "&amp;B11</f>
        <v>HEADER AMIODARONE</v>
      </c>
      <c r="B11" s="278" t="s">
        <v>1134</v>
      </c>
      <c r="C11" s="279"/>
      <c r="D11" s="279"/>
      <c r="E11" s="279"/>
      <c r="F11" s="279"/>
      <c r="G11" s="277"/>
      <c r="H11" s="277"/>
      <c r="I11" s="286"/>
    </row>
    <row r="12" spans="1:9" x14ac:dyDescent="0.25">
      <c r="A12" s="277">
        <v>1000060</v>
      </c>
      <c r="B12" s="279" t="s">
        <v>1135</v>
      </c>
      <c r="C12" s="277" t="s">
        <v>1110</v>
      </c>
      <c r="D12" s="279" t="s">
        <v>1136</v>
      </c>
      <c r="E12" s="279" t="s">
        <v>1137</v>
      </c>
      <c r="F12" s="279" t="s">
        <v>1138</v>
      </c>
      <c r="G12" s="277" t="s">
        <v>1114</v>
      </c>
      <c r="H12" s="277" t="s">
        <v>1115</v>
      </c>
      <c r="I12" s="287">
        <v>2</v>
      </c>
    </row>
    <row r="13" spans="1:9" x14ac:dyDescent="0.25">
      <c r="A13" s="277">
        <v>1011280</v>
      </c>
      <c r="B13" s="279" t="s">
        <v>1139</v>
      </c>
      <c r="C13" s="277" t="s">
        <v>1110</v>
      </c>
      <c r="D13" s="279" t="s">
        <v>1140</v>
      </c>
      <c r="E13" s="279" t="s">
        <v>1137</v>
      </c>
      <c r="F13" s="279" t="s">
        <v>1141</v>
      </c>
      <c r="G13" s="277" t="s">
        <v>1114</v>
      </c>
      <c r="H13" s="277" t="s">
        <v>1115</v>
      </c>
      <c r="I13" s="287">
        <v>18.010000000000002</v>
      </c>
    </row>
    <row r="14" spans="1:9" x14ac:dyDescent="0.25">
      <c r="A14" s="277">
        <v>1013010</v>
      </c>
      <c r="B14" s="279" t="s">
        <v>1142</v>
      </c>
      <c r="C14" s="277" t="s">
        <v>1110</v>
      </c>
      <c r="D14" s="279" t="s">
        <v>1143</v>
      </c>
      <c r="E14" s="279" t="s">
        <v>1144</v>
      </c>
      <c r="F14" s="279" t="s">
        <v>1145</v>
      </c>
      <c r="G14" s="277" t="s">
        <v>1114</v>
      </c>
      <c r="H14" s="277" t="s">
        <v>1115</v>
      </c>
      <c r="I14" s="287">
        <v>49.613</v>
      </c>
    </row>
    <row r="15" spans="1:9" hidden="1" x14ac:dyDescent="0.25">
      <c r="A15" s="277" t="str">
        <f>"HEADER "&amp;B15</f>
        <v>HEADER ASPIRIN</v>
      </c>
      <c r="B15" s="278" t="s">
        <v>1146</v>
      </c>
      <c r="C15" s="279"/>
      <c r="D15" s="279"/>
      <c r="E15" s="279"/>
      <c r="F15" s="279"/>
      <c r="G15" s="277"/>
      <c r="H15" s="277"/>
      <c r="I15" s="286"/>
    </row>
    <row r="16" spans="1:9" x14ac:dyDescent="0.25">
      <c r="A16" s="277">
        <v>1017600</v>
      </c>
      <c r="B16" s="279" t="s">
        <v>1147</v>
      </c>
      <c r="C16" s="277" t="s">
        <v>1148</v>
      </c>
      <c r="D16" s="279" t="s">
        <v>1149</v>
      </c>
      <c r="E16" s="279" t="s">
        <v>1150</v>
      </c>
      <c r="F16" s="279" t="s">
        <v>1151</v>
      </c>
      <c r="G16" s="277" t="s">
        <v>1114</v>
      </c>
      <c r="H16" s="277" t="s">
        <v>1115</v>
      </c>
      <c r="I16" s="287">
        <v>0.156</v>
      </c>
    </row>
    <row r="17" spans="1:9" x14ac:dyDescent="0.25">
      <c r="A17" s="277">
        <v>1010220</v>
      </c>
      <c r="B17" s="279" t="s">
        <v>1152</v>
      </c>
      <c r="C17" s="277" t="s">
        <v>1110</v>
      </c>
      <c r="D17" s="279" t="s">
        <v>1153</v>
      </c>
      <c r="E17" s="279" t="s">
        <v>1154</v>
      </c>
      <c r="F17" s="279" t="s">
        <v>1155</v>
      </c>
      <c r="G17" s="277" t="s">
        <v>1114</v>
      </c>
      <c r="H17" s="277" t="s">
        <v>1115</v>
      </c>
      <c r="I17" s="287">
        <v>1.29</v>
      </c>
    </row>
    <row r="18" spans="1:9" x14ac:dyDescent="0.25">
      <c r="A18" s="277">
        <v>1013230</v>
      </c>
      <c r="B18" s="279" t="s">
        <v>1156</v>
      </c>
      <c r="C18" s="277" t="s">
        <v>1110</v>
      </c>
      <c r="D18" s="279" t="s">
        <v>1157</v>
      </c>
      <c r="E18" s="279" t="s">
        <v>1158</v>
      </c>
      <c r="F18" s="279" t="s">
        <v>1159</v>
      </c>
      <c r="G18" s="277" t="s">
        <v>1114</v>
      </c>
      <c r="H18" s="277" t="s">
        <v>1115</v>
      </c>
      <c r="I18" s="287">
        <v>1.31</v>
      </c>
    </row>
    <row r="19" spans="1:9" hidden="1" x14ac:dyDescent="0.25">
      <c r="A19" s="277" t="str">
        <f>"HEADER "&amp;B19</f>
        <v>HEADER ATROPINE</v>
      </c>
      <c r="B19" s="278" t="s">
        <v>1160</v>
      </c>
      <c r="C19" s="279"/>
      <c r="D19" s="279"/>
      <c r="E19" s="279"/>
      <c r="F19" s="279"/>
      <c r="G19" s="277"/>
      <c r="H19" s="277"/>
      <c r="I19" s="286"/>
    </row>
    <row r="20" spans="1:9" x14ac:dyDescent="0.25">
      <c r="A20" s="277">
        <v>1019410</v>
      </c>
      <c r="B20" s="279" t="s">
        <v>1161</v>
      </c>
      <c r="C20" s="277" t="s">
        <v>1110</v>
      </c>
      <c r="D20" s="279" t="s">
        <v>1162</v>
      </c>
      <c r="E20" s="279" t="s">
        <v>1163</v>
      </c>
      <c r="F20" s="279" t="s">
        <v>1164</v>
      </c>
      <c r="G20" s="277" t="s">
        <v>1114</v>
      </c>
      <c r="H20" s="277" t="s">
        <v>1115</v>
      </c>
      <c r="I20" s="287">
        <v>5.4391999999999996</v>
      </c>
    </row>
    <row r="21" spans="1:9" x14ac:dyDescent="0.25">
      <c r="A21" s="277">
        <v>1019400</v>
      </c>
      <c r="B21" s="279" t="s">
        <v>1165</v>
      </c>
      <c r="C21" s="277" t="s">
        <v>1110</v>
      </c>
      <c r="D21" s="279" t="s">
        <v>1166</v>
      </c>
      <c r="E21" s="279" t="s">
        <v>1167</v>
      </c>
      <c r="F21" s="279" t="s">
        <v>1164</v>
      </c>
      <c r="G21" s="277" t="s">
        <v>1114</v>
      </c>
      <c r="H21" s="277" t="s">
        <v>1115</v>
      </c>
      <c r="I21" s="287">
        <v>15.26</v>
      </c>
    </row>
    <row r="22" spans="1:9" x14ac:dyDescent="0.25">
      <c r="A22" s="277">
        <v>1019420</v>
      </c>
      <c r="B22" s="279" t="s">
        <v>1168</v>
      </c>
      <c r="C22" s="277" t="s">
        <v>1110</v>
      </c>
      <c r="D22" s="279" t="s">
        <v>1169</v>
      </c>
      <c r="E22" s="279" t="s">
        <v>1170</v>
      </c>
      <c r="F22" s="279" t="s">
        <v>1133</v>
      </c>
      <c r="G22" s="277" t="s">
        <v>1114</v>
      </c>
      <c r="H22" s="277" t="s">
        <v>1115</v>
      </c>
      <c r="I22" s="287">
        <v>9.5879999999999992</v>
      </c>
    </row>
    <row r="23" spans="1:9" x14ac:dyDescent="0.25">
      <c r="A23" s="277">
        <v>1015780</v>
      </c>
      <c r="B23" s="279" t="s">
        <v>1171</v>
      </c>
      <c r="C23" s="277" t="s">
        <v>1110</v>
      </c>
      <c r="D23" s="279" t="s">
        <v>1172</v>
      </c>
      <c r="E23" s="279" t="s">
        <v>1173</v>
      </c>
      <c r="F23" s="279" t="s">
        <v>1130</v>
      </c>
      <c r="G23" s="277" t="s">
        <v>1114</v>
      </c>
      <c r="H23" s="277" t="s">
        <v>1115</v>
      </c>
      <c r="I23" s="287">
        <v>11.45</v>
      </c>
    </row>
    <row r="24" spans="1:9" hidden="1" x14ac:dyDescent="0.25">
      <c r="A24" s="277" t="str">
        <f>"HEADER "&amp;B24</f>
        <v>HEADER BUPIVACAINE/MARCAINE/SENSORCAINE</v>
      </c>
      <c r="B24" s="278" t="s">
        <v>1174</v>
      </c>
      <c r="C24" s="279"/>
      <c r="D24" s="279"/>
      <c r="E24" s="279"/>
      <c r="F24" s="279"/>
      <c r="G24" s="277"/>
      <c r="H24" s="277"/>
      <c r="I24" s="286"/>
    </row>
    <row r="25" spans="1:9" x14ac:dyDescent="0.25">
      <c r="A25" s="277">
        <v>1012080</v>
      </c>
      <c r="B25" s="279" t="s">
        <v>1175</v>
      </c>
      <c r="C25" s="277" t="s">
        <v>1110</v>
      </c>
      <c r="D25" s="279" t="s">
        <v>1176</v>
      </c>
      <c r="E25" s="279" t="s">
        <v>1177</v>
      </c>
      <c r="F25" s="279" t="s">
        <v>1178</v>
      </c>
      <c r="G25" s="277" t="s">
        <v>1114</v>
      </c>
      <c r="H25" s="277" t="s">
        <v>1115</v>
      </c>
      <c r="I25" s="287">
        <v>19.399999999999999</v>
      </c>
    </row>
    <row r="26" spans="1:9" x14ac:dyDescent="0.25">
      <c r="A26" s="277">
        <v>1011870</v>
      </c>
      <c r="B26" s="279" t="s">
        <v>1179</v>
      </c>
      <c r="C26" s="277" t="s">
        <v>1110</v>
      </c>
      <c r="D26" s="279" t="s">
        <v>1180</v>
      </c>
      <c r="E26" s="279" t="s">
        <v>1181</v>
      </c>
      <c r="F26" s="279" t="s">
        <v>1182</v>
      </c>
      <c r="G26" s="277" t="s">
        <v>1114</v>
      </c>
      <c r="H26" s="277" t="s">
        <v>1115</v>
      </c>
      <c r="I26" s="287">
        <v>2.66</v>
      </c>
    </row>
    <row r="27" spans="1:9" x14ac:dyDescent="0.25">
      <c r="A27" s="277">
        <v>1012090</v>
      </c>
      <c r="B27" s="279" t="s">
        <v>1183</v>
      </c>
      <c r="C27" s="277" t="s">
        <v>1110</v>
      </c>
      <c r="D27" s="279" t="s">
        <v>1184</v>
      </c>
      <c r="E27" s="279" t="s">
        <v>1181</v>
      </c>
      <c r="F27" s="279" t="s">
        <v>1178</v>
      </c>
      <c r="G27" s="277" t="s">
        <v>1114</v>
      </c>
      <c r="H27" s="277" t="s">
        <v>1115</v>
      </c>
      <c r="I27" s="287">
        <v>20.77</v>
      </c>
    </row>
    <row r="28" spans="1:9" hidden="1" x14ac:dyDescent="0.25">
      <c r="A28" s="277" t="str">
        <f>"HEADER "&amp;B28</f>
        <v>HEADER CALCIUM CHLORIDE</v>
      </c>
      <c r="B28" s="278" t="s">
        <v>1185</v>
      </c>
      <c r="C28" s="279"/>
      <c r="D28" s="279"/>
      <c r="E28" s="279"/>
      <c r="F28" s="279"/>
      <c r="G28" s="277"/>
      <c r="H28" s="277"/>
      <c r="I28" s="286"/>
    </row>
    <row r="29" spans="1:9" x14ac:dyDescent="0.25">
      <c r="A29" s="277">
        <v>1012300</v>
      </c>
      <c r="B29" s="279" t="s">
        <v>1186</v>
      </c>
      <c r="C29" s="277" t="s">
        <v>1110</v>
      </c>
      <c r="D29" s="279" t="s">
        <v>1187</v>
      </c>
      <c r="E29" s="279" t="s">
        <v>1188</v>
      </c>
      <c r="F29" s="279" t="s">
        <v>1189</v>
      </c>
      <c r="G29" s="277" t="s">
        <v>1114</v>
      </c>
      <c r="H29" s="277" t="s">
        <v>1115</v>
      </c>
      <c r="I29" s="287">
        <v>10.5</v>
      </c>
    </row>
    <row r="30" spans="1:9" x14ac:dyDescent="0.25">
      <c r="A30" s="277">
        <v>1012720</v>
      </c>
      <c r="B30" s="279" t="s">
        <v>1190</v>
      </c>
      <c r="C30" s="277" t="s">
        <v>1110</v>
      </c>
      <c r="D30" s="279" t="s">
        <v>1191</v>
      </c>
      <c r="E30" s="279" t="s">
        <v>1192</v>
      </c>
      <c r="F30" s="279" t="s">
        <v>1130</v>
      </c>
      <c r="G30" s="277" t="s">
        <v>1114</v>
      </c>
      <c r="H30" s="277" t="s">
        <v>1115</v>
      </c>
      <c r="I30" s="287">
        <v>13.872</v>
      </c>
    </row>
    <row r="31" spans="1:9" hidden="1" x14ac:dyDescent="0.25">
      <c r="A31" s="277" t="str">
        <f>"HEADER "&amp;B31</f>
        <v>HEADER CALCIUM GLUCONATE</v>
      </c>
      <c r="B31" s="278" t="s">
        <v>1193</v>
      </c>
      <c r="C31" s="279"/>
      <c r="D31" s="279"/>
      <c r="E31" s="279"/>
      <c r="F31" s="279"/>
      <c r="G31" s="277"/>
      <c r="H31" s="277"/>
      <c r="I31" s="286"/>
    </row>
    <row r="32" spans="1:9" x14ac:dyDescent="0.25">
      <c r="A32" s="277">
        <v>1009700</v>
      </c>
      <c r="B32" s="279" t="s">
        <v>1194</v>
      </c>
      <c r="C32" s="277" t="s">
        <v>1110</v>
      </c>
      <c r="D32" s="279" t="s">
        <v>1195</v>
      </c>
      <c r="E32" s="279" t="s">
        <v>1192</v>
      </c>
      <c r="F32" s="279" t="s">
        <v>1130</v>
      </c>
      <c r="G32" s="277" t="s">
        <v>1114</v>
      </c>
      <c r="H32" s="277" t="s">
        <v>1115</v>
      </c>
      <c r="I32" s="287">
        <v>11.42</v>
      </c>
    </row>
    <row r="33" spans="1:9" hidden="1" x14ac:dyDescent="0.25">
      <c r="A33" s="277" t="str">
        <f>"HEADER "&amp;B33</f>
        <v>HEADER CHLORAPREP</v>
      </c>
      <c r="B33" s="278" t="s">
        <v>1196</v>
      </c>
      <c r="C33" s="279"/>
      <c r="D33" s="279"/>
      <c r="E33" s="279"/>
      <c r="F33" s="279"/>
      <c r="G33" s="277"/>
      <c r="H33" s="277"/>
      <c r="I33" s="286"/>
    </row>
    <row r="34" spans="1:9" x14ac:dyDescent="0.25">
      <c r="A34" s="277">
        <v>1024650</v>
      </c>
      <c r="B34" s="279" t="s">
        <v>1197</v>
      </c>
      <c r="C34" s="279" t="s">
        <v>1110</v>
      </c>
      <c r="D34" s="279" t="s">
        <v>1198</v>
      </c>
      <c r="E34" s="279" t="s">
        <v>1199</v>
      </c>
      <c r="F34" s="279" t="s">
        <v>1200</v>
      </c>
      <c r="G34" s="277" t="s">
        <v>1114</v>
      </c>
      <c r="H34" s="277" t="s">
        <v>1115</v>
      </c>
      <c r="I34" s="287">
        <v>1.0249999999999999</v>
      </c>
    </row>
    <row r="35" spans="1:9" hidden="1" x14ac:dyDescent="0.25">
      <c r="A35" s="277" t="str">
        <f>"HEADER "&amp;B35</f>
        <v>HEADER DEXAMETHASONE</v>
      </c>
      <c r="B35" s="278" t="s">
        <v>1201</v>
      </c>
      <c r="C35" s="279"/>
      <c r="D35" s="279"/>
      <c r="E35" s="279"/>
      <c r="F35" s="279"/>
      <c r="G35" s="277"/>
      <c r="H35" s="277"/>
      <c r="I35" s="286"/>
    </row>
    <row r="36" spans="1:9" x14ac:dyDescent="0.25">
      <c r="A36" s="277">
        <v>1010160</v>
      </c>
      <c r="B36" s="279" t="s">
        <v>1202</v>
      </c>
      <c r="C36" s="277" t="s">
        <v>1110</v>
      </c>
      <c r="D36" s="279" t="s">
        <v>1203</v>
      </c>
      <c r="E36" s="279" t="s">
        <v>1204</v>
      </c>
      <c r="F36" s="279" t="s">
        <v>1205</v>
      </c>
      <c r="G36" s="277" t="s">
        <v>1114</v>
      </c>
      <c r="H36" s="277" t="s">
        <v>1115</v>
      </c>
      <c r="I36" s="287">
        <v>0.76680000000000004</v>
      </c>
    </row>
    <row r="37" spans="1:9" x14ac:dyDescent="0.25">
      <c r="A37" s="277">
        <v>1016140</v>
      </c>
      <c r="B37" s="279" t="s">
        <v>1206</v>
      </c>
      <c r="C37" s="277" t="s">
        <v>1110</v>
      </c>
      <c r="D37" s="279" t="s">
        <v>1207</v>
      </c>
      <c r="E37" s="279" t="s">
        <v>1204</v>
      </c>
      <c r="F37" s="279" t="s">
        <v>1130</v>
      </c>
      <c r="G37" s="277" t="s">
        <v>1114</v>
      </c>
      <c r="H37" s="277" t="s">
        <v>1115</v>
      </c>
      <c r="I37" s="287">
        <v>4.0999999999999996</v>
      </c>
    </row>
    <row r="38" spans="1:9" x14ac:dyDescent="0.25">
      <c r="A38" s="277">
        <v>1022730</v>
      </c>
      <c r="B38" s="279" t="s">
        <v>1208</v>
      </c>
      <c r="C38" s="277" t="s">
        <v>1110</v>
      </c>
      <c r="D38" s="279" t="s">
        <v>1209</v>
      </c>
      <c r="E38" s="279" t="s">
        <v>1210</v>
      </c>
      <c r="F38" s="279" t="s">
        <v>1211</v>
      </c>
      <c r="G38" s="277" t="s">
        <v>1114</v>
      </c>
      <c r="H38" s="277" t="s">
        <v>1115</v>
      </c>
      <c r="I38" s="287">
        <v>0.70299999999999996</v>
      </c>
    </row>
    <row r="39" spans="1:9" hidden="1" x14ac:dyDescent="0.25">
      <c r="A39" s="277" t="str">
        <f>"HEADER "&amp;B39</f>
        <v>HEADER DEXTROSE</v>
      </c>
      <c r="B39" s="278" t="s">
        <v>1212</v>
      </c>
      <c r="C39" s="279"/>
      <c r="D39" s="279"/>
      <c r="E39" s="279"/>
      <c r="F39" s="279"/>
      <c r="G39" s="277"/>
      <c r="H39" s="277"/>
      <c r="I39" s="286"/>
    </row>
    <row r="40" spans="1:9" x14ac:dyDescent="0.25">
      <c r="A40" s="277">
        <v>1000140</v>
      </c>
      <c r="B40" s="279" t="s">
        <v>1213</v>
      </c>
      <c r="C40" s="277" t="s">
        <v>1110</v>
      </c>
      <c r="D40" s="279" t="s">
        <v>1214</v>
      </c>
      <c r="E40" s="279" t="s">
        <v>1215</v>
      </c>
      <c r="F40" s="279" t="s">
        <v>1130</v>
      </c>
      <c r="G40" s="277" t="s">
        <v>1114</v>
      </c>
      <c r="H40" s="277" t="s">
        <v>1115</v>
      </c>
      <c r="I40" s="287">
        <v>24.448</v>
      </c>
    </row>
    <row r="41" spans="1:9" x14ac:dyDescent="0.25">
      <c r="A41" s="277">
        <v>1000160</v>
      </c>
      <c r="B41" s="279" t="s">
        <v>1216</v>
      </c>
      <c r="C41" s="277" t="s">
        <v>1110</v>
      </c>
      <c r="D41" s="279" t="s">
        <v>1217</v>
      </c>
      <c r="E41" s="279" t="s">
        <v>1218</v>
      </c>
      <c r="F41" s="279" t="s">
        <v>1178</v>
      </c>
      <c r="G41" s="277" t="s">
        <v>1114</v>
      </c>
      <c r="H41" s="277" t="s">
        <v>1115</v>
      </c>
      <c r="I41" s="287">
        <v>5.8756000000000004</v>
      </c>
    </row>
    <row r="42" spans="1:9" x14ac:dyDescent="0.25">
      <c r="A42" s="277">
        <v>1017610</v>
      </c>
      <c r="B42" s="279" t="s">
        <v>1219</v>
      </c>
      <c r="C42" s="277" t="s">
        <v>1110</v>
      </c>
      <c r="D42" s="279" t="s">
        <v>1220</v>
      </c>
      <c r="E42" s="279" t="s">
        <v>1221</v>
      </c>
      <c r="F42" s="279" t="s">
        <v>1182</v>
      </c>
      <c r="G42" s="277" t="s">
        <v>1114</v>
      </c>
      <c r="H42" s="277" t="s">
        <v>1115</v>
      </c>
      <c r="I42" s="287">
        <v>22.24</v>
      </c>
    </row>
    <row r="43" spans="1:9" x14ac:dyDescent="0.25">
      <c r="A43" s="277">
        <v>1013200</v>
      </c>
      <c r="B43" s="279" t="s">
        <v>1222</v>
      </c>
      <c r="C43" s="277" t="s">
        <v>1110</v>
      </c>
      <c r="D43" s="279" t="s">
        <v>1223</v>
      </c>
      <c r="E43" s="279" t="s">
        <v>1137</v>
      </c>
      <c r="F43" s="279" t="s">
        <v>1224</v>
      </c>
      <c r="G43" s="277" t="s">
        <v>1114</v>
      </c>
      <c r="H43" s="277" t="s">
        <v>1115</v>
      </c>
      <c r="I43" s="287">
        <v>3.25</v>
      </c>
    </row>
    <row r="44" spans="1:9" hidden="1" x14ac:dyDescent="0.25">
      <c r="A44" s="277" t="str">
        <f>"HEADER "&amp;B44</f>
        <v>HEADER DIGOXIN</v>
      </c>
      <c r="B44" s="278" t="s">
        <v>1225</v>
      </c>
      <c r="C44" s="279"/>
      <c r="D44" s="279"/>
      <c r="E44" s="279"/>
      <c r="F44" s="279"/>
      <c r="G44" s="277"/>
      <c r="H44" s="277"/>
      <c r="I44" s="286"/>
    </row>
    <row r="45" spans="1:9" x14ac:dyDescent="0.25">
      <c r="A45" s="277">
        <v>1000180</v>
      </c>
      <c r="B45" s="279" t="s">
        <v>1226</v>
      </c>
      <c r="C45" s="277" t="s">
        <v>1110</v>
      </c>
      <c r="D45" s="279" t="s">
        <v>1227</v>
      </c>
      <c r="E45" s="279" t="s">
        <v>1228</v>
      </c>
      <c r="F45" s="279" t="s">
        <v>1113</v>
      </c>
      <c r="G45" s="277" t="s">
        <v>1114</v>
      </c>
      <c r="H45" s="277" t="s">
        <v>1115</v>
      </c>
      <c r="I45" s="287">
        <v>4.4000000000000004</v>
      </c>
    </row>
    <row r="46" spans="1:9" hidden="1" x14ac:dyDescent="0.25">
      <c r="A46" s="277" t="str">
        <f>"HEADER "&amp;B46</f>
        <v>HEADER DILTIAZEM</v>
      </c>
      <c r="B46" s="278" t="s">
        <v>1229</v>
      </c>
      <c r="C46" s="279"/>
      <c r="D46" s="279"/>
      <c r="E46" s="279"/>
      <c r="F46" s="279"/>
      <c r="G46" s="277"/>
      <c r="H46" s="277"/>
      <c r="I46" s="286"/>
    </row>
    <row r="47" spans="1:9" x14ac:dyDescent="0.25">
      <c r="A47" s="277">
        <v>1010080</v>
      </c>
      <c r="B47" s="279" t="s">
        <v>1230</v>
      </c>
      <c r="C47" s="277" t="s">
        <v>1110</v>
      </c>
      <c r="D47" s="279" t="s">
        <v>1231</v>
      </c>
      <c r="E47" s="279" t="s">
        <v>1232</v>
      </c>
      <c r="F47" s="279" t="s">
        <v>1211</v>
      </c>
      <c r="G47" s="280" t="s">
        <v>1233</v>
      </c>
      <c r="H47" s="277" t="s">
        <v>1115</v>
      </c>
      <c r="I47" s="287">
        <v>3.0779999999999998</v>
      </c>
    </row>
    <row r="48" spans="1:9" x14ac:dyDescent="0.25">
      <c r="A48" s="277">
        <v>1012770</v>
      </c>
      <c r="B48" s="279" t="s">
        <v>1234</v>
      </c>
      <c r="C48" s="277" t="s">
        <v>1110</v>
      </c>
      <c r="D48" s="279" t="s">
        <v>1235</v>
      </c>
      <c r="E48" s="279" t="s">
        <v>1236</v>
      </c>
      <c r="F48" s="279" t="s">
        <v>1237</v>
      </c>
      <c r="G48" s="277" t="s">
        <v>1114</v>
      </c>
      <c r="H48" s="277" t="s">
        <v>1115</v>
      </c>
      <c r="I48" s="287">
        <v>11.411</v>
      </c>
    </row>
    <row r="49" spans="1:9" hidden="1" x14ac:dyDescent="0.25">
      <c r="A49" s="277" t="str">
        <f>"HEADER "&amp;B49</f>
        <v>HEADER DIPHENHYDRAMINE</v>
      </c>
      <c r="B49" s="278" t="s">
        <v>1238</v>
      </c>
      <c r="C49" s="279"/>
      <c r="D49" s="279"/>
      <c r="E49" s="279"/>
      <c r="F49" s="279"/>
      <c r="G49" s="277"/>
      <c r="H49" s="277"/>
      <c r="I49" s="286"/>
    </row>
    <row r="50" spans="1:9" x14ac:dyDescent="0.25">
      <c r="A50" s="277">
        <v>1000200</v>
      </c>
      <c r="B50" s="279" t="s">
        <v>1239</v>
      </c>
      <c r="C50" s="277" t="s">
        <v>1110</v>
      </c>
      <c r="D50" s="279" t="s">
        <v>1240</v>
      </c>
      <c r="E50" s="279" t="s">
        <v>1137</v>
      </c>
      <c r="F50" s="279" t="s">
        <v>1164</v>
      </c>
      <c r="G50" s="277" t="s">
        <v>1114</v>
      </c>
      <c r="H50" s="277" t="s">
        <v>1115</v>
      </c>
      <c r="I50" s="287">
        <v>0.56000000000000005</v>
      </c>
    </row>
    <row r="51" spans="1:9" x14ac:dyDescent="0.25">
      <c r="A51" s="277">
        <v>1024640</v>
      </c>
      <c r="B51" s="279" t="s">
        <v>1241</v>
      </c>
      <c r="C51" s="279" t="s">
        <v>1110</v>
      </c>
      <c r="D51" s="279" t="s">
        <v>1242</v>
      </c>
      <c r="E51" s="279" t="s">
        <v>1243</v>
      </c>
      <c r="F51" s="279" t="s">
        <v>1244</v>
      </c>
      <c r="G51" s="277" t="s">
        <v>1114</v>
      </c>
      <c r="H51" s="277" t="s">
        <v>1115</v>
      </c>
      <c r="I51" s="287">
        <v>9.9699999999999997E-2</v>
      </c>
    </row>
    <row r="52" spans="1:9" hidden="1" x14ac:dyDescent="0.25">
      <c r="A52" s="277" t="str">
        <f>"HEADER "&amp;B52</f>
        <v>HEADER DOBUTAMINE</v>
      </c>
      <c r="B52" s="278" t="s">
        <v>1245</v>
      </c>
      <c r="C52" s="279"/>
      <c r="D52" s="279"/>
      <c r="E52" s="279"/>
      <c r="F52" s="279"/>
      <c r="G52" s="277"/>
      <c r="H52" s="277"/>
      <c r="I52" s="286"/>
    </row>
    <row r="53" spans="1:9" x14ac:dyDescent="0.25">
      <c r="A53" s="277">
        <v>1010100</v>
      </c>
      <c r="B53" s="279" t="s">
        <v>1246</v>
      </c>
      <c r="C53" s="277" t="s">
        <v>1110</v>
      </c>
      <c r="D53" s="279" t="s">
        <v>1247</v>
      </c>
      <c r="E53" s="279" t="s">
        <v>1248</v>
      </c>
      <c r="F53" s="279" t="s">
        <v>1133</v>
      </c>
      <c r="G53" s="277" t="s">
        <v>1114</v>
      </c>
      <c r="H53" s="277" t="s">
        <v>1115</v>
      </c>
      <c r="I53" s="287">
        <v>8.3190000000000008</v>
      </c>
    </row>
    <row r="54" spans="1:9" x14ac:dyDescent="0.25">
      <c r="A54" s="277">
        <v>1016380</v>
      </c>
      <c r="B54" s="279" t="s">
        <v>1249</v>
      </c>
      <c r="C54" s="277" t="s">
        <v>1110</v>
      </c>
      <c r="D54" s="279" t="s">
        <v>1250</v>
      </c>
      <c r="E54" s="279" t="s">
        <v>1251</v>
      </c>
      <c r="F54" s="279" t="s">
        <v>1224</v>
      </c>
      <c r="G54" s="277" t="s">
        <v>1114</v>
      </c>
      <c r="H54" s="277" t="s">
        <v>1115</v>
      </c>
      <c r="I54" s="287">
        <v>25.8822222222222</v>
      </c>
    </row>
    <row r="55" spans="1:9" x14ac:dyDescent="0.25">
      <c r="A55" s="277">
        <v>1010010</v>
      </c>
      <c r="B55" s="279" t="s">
        <v>1252</v>
      </c>
      <c r="C55" s="277" t="s">
        <v>1110</v>
      </c>
      <c r="D55" s="279" t="s">
        <v>1253</v>
      </c>
      <c r="E55" s="279" t="s">
        <v>1254</v>
      </c>
      <c r="F55" s="279" t="s">
        <v>1224</v>
      </c>
      <c r="G55" s="277" t="s">
        <v>1114</v>
      </c>
      <c r="H55" s="277" t="s">
        <v>1115</v>
      </c>
      <c r="I55" s="287">
        <v>39.108333333333299</v>
      </c>
    </row>
    <row r="56" spans="1:9" hidden="1" x14ac:dyDescent="0.25">
      <c r="A56" s="277" t="str">
        <f>"HEADER "&amp;B56</f>
        <v>HEADER DOPAMINE</v>
      </c>
      <c r="B56" s="278" t="s">
        <v>1255</v>
      </c>
      <c r="C56" s="279"/>
      <c r="D56" s="279"/>
      <c r="E56" s="279"/>
      <c r="F56" s="279"/>
      <c r="G56" s="277"/>
      <c r="H56" s="277"/>
      <c r="I56" s="286"/>
    </row>
    <row r="57" spans="1:9" x14ac:dyDescent="0.25">
      <c r="A57" s="277">
        <v>1007700</v>
      </c>
      <c r="B57" s="281" t="s">
        <v>1256</v>
      </c>
      <c r="C57" s="279" t="s">
        <v>1110</v>
      </c>
      <c r="D57" s="279" t="s">
        <v>1257</v>
      </c>
      <c r="E57" s="279" t="s">
        <v>1258</v>
      </c>
      <c r="F57" s="279" t="s">
        <v>1211</v>
      </c>
      <c r="G57" s="277" t="s">
        <v>1114</v>
      </c>
      <c r="H57" s="277" t="s">
        <v>1115</v>
      </c>
      <c r="I57" s="287">
        <v>4.2956000000000003</v>
      </c>
    </row>
    <row r="58" spans="1:9" x14ac:dyDescent="0.25">
      <c r="A58" s="277">
        <v>1000210</v>
      </c>
      <c r="B58" s="279" t="s">
        <v>1259</v>
      </c>
      <c r="C58" s="277" t="s">
        <v>1110</v>
      </c>
      <c r="D58" s="279" t="s">
        <v>1260</v>
      </c>
      <c r="E58" s="279" t="s">
        <v>1258</v>
      </c>
      <c r="F58" s="279" t="s">
        <v>1130</v>
      </c>
      <c r="G58" s="277" t="s">
        <v>1114</v>
      </c>
      <c r="H58" s="277" t="s">
        <v>1115</v>
      </c>
      <c r="I58" s="287">
        <v>8.0272000000000006</v>
      </c>
    </row>
    <row r="59" spans="1:9" x14ac:dyDescent="0.25">
      <c r="A59" s="277">
        <v>1013490</v>
      </c>
      <c r="B59" s="279" t="s">
        <v>1261</v>
      </c>
      <c r="C59" s="277" t="s">
        <v>1110</v>
      </c>
      <c r="D59" s="279" t="s">
        <v>1262</v>
      </c>
      <c r="E59" s="279" t="s">
        <v>1258</v>
      </c>
      <c r="F59" s="279" t="s">
        <v>1130</v>
      </c>
      <c r="G59" s="277" t="s">
        <v>1114</v>
      </c>
      <c r="H59" s="277" t="s">
        <v>1115</v>
      </c>
      <c r="I59" s="287">
        <v>2.85</v>
      </c>
    </row>
    <row r="60" spans="1:9" x14ac:dyDescent="0.25">
      <c r="A60" s="277">
        <v>1009740</v>
      </c>
      <c r="B60" s="279" t="s">
        <v>1263</v>
      </c>
      <c r="C60" s="277" t="s">
        <v>1110</v>
      </c>
      <c r="D60" s="279" t="s">
        <v>1264</v>
      </c>
      <c r="E60" s="279" t="s">
        <v>1265</v>
      </c>
      <c r="F60" s="279" t="s">
        <v>1224</v>
      </c>
      <c r="G60" s="277" t="s">
        <v>1114</v>
      </c>
      <c r="H60" s="277" t="s">
        <v>1115</v>
      </c>
      <c r="I60" s="287">
        <v>15.8725</v>
      </c>
    </row>
    <row r="61" spans="1:9" x14ac:dyDescent="0.25">
      <c r="A61" s="277">
        <v>1012780</v>
      </c>
      <c r="B61" s="279" t="s">
        <v>1266</v>
      </c>
      <c r="C61" s="277" t="s">
        <v>1110</v>
      </c>
      <c r="D61" s="279" t="s">
        <v>1267</v>
      </c>
      <c r="E61" s="279" t="s">
        <v>1268</v>
      </c>
      <c r="F61" s="279" t="s">
        <v>1269</v>
      </c>
      <c r="G61" s="277" t="s">
        <v>1114</v>
      </c>
      <c r="H61" s="277" t="s">
        <v>1115</v>
      </c>
      <c r="I61" s="287">
        <v>20.9575</v>
      </c>
    </row>
    <row r="62" spans="1:9" hidden="1" x14ac:dyDescent="0.25">
      <c r="A62" s="277" t="str">
        <f>"HEADER "&amp;B62</f>
        <v>HEADER DOXYCYCLINE</v>
      </c>
      <c r="B62" s="278" t="s">
        <v>1270</v>
      </c>
      <c r="C62" s="279"/>
      <c r="D62" s="279"/>
      <c r="E62" s="279"/>
      <c r="F62" s="279"/>
      <c r="G62" s="277"/>
      <c r="H62" s="277"/>
      <c r="I62" s="286"/>
    </row>
    <row r="63" spans="1:9" x14ac:dyDescent="0.25">
      <c r="A63" s="277">
        <v>1011980</v>
      </c>
      <c r="B63" s="279" t="s">
        <v>1271</v>
      </c>
      <c r="C63" s="277" t="s">
        <v>1110</v>
      </c>
      <c r="D63" s="279" t="s">
        <v>1272</v>
      </c>
      <c r="E63" s="279" t="s">
        <v>1273</v>
      </c>
      <c r="F63" s="279" t="s">
        <v>1133</v>
      </c>
      <c r="G63" s="277" t="s">
        <v>1114</v>
      </c>
      <c r="H63" s="277" t="s">
        <v>1115</v>
      </c>
      <c r="I63" s="287">
        <v>26.33</v>
      </c>
    </row>
    <row r="64" spans="1:9" hidden="1" x14ac:dyDescent="0.25">
      <c r="A64" s="277" t="str">
        <f>"HEADER "&amp;B64</f>
        <v>HEADER ENALAPRILAT</v>
      </c>
      <c r="B64" s="278" t="s">
        <v>1274</v>
      </c>
      <c r="C64" s="279"/>
      <c r="D64" s="279"/>
      <c r="E64" s="279"/>
      <c r="F64" s="279"/>
      <c r="G64" s="277"/>
      <c r="H64" s="277"/>
      <c r="I64" s="286"/>
    </row>
    <row r="65" spans="1:9" x14ac:dyDescent="0.25">
      <c r="A65" s="277">
        <v>1012970</v>
      </c>
      <c r="B65" s="279" t="s">
        <v>1275</v>
      </c>
      <c r="C65" s="277" t="s">
        <v>1110</v>
      </c>
      <c r="D65" s="279" t="s">
        <v>1276</v>
      </c>
      <c r="E65" s="279" t="s">
        <v>1277</v>
      </c>
      <c r="F65" s="279" t="s">
        <v>1164</v>
      </c>
      <c r="G65" s="277" t="s">
        <v>1114</v>
      </c>
      <c r="H65" s="277" t="s">
        <v>1115</v>
      </c>
      <c r="I65" s="287">
        <v>4.7779999999999996</v>
      </c>
    </row>
    <row r="66" spans="1:9" hidden="1" x14ac:dyDescent="0.25">
      <c r="A66" s="277" t="str">
        <f>"HEADER "&amp;B66</f>
        <v>HEADER EPHEDRINE</v>
      </c>
      <c r="B66" s="278" t="s">
        <v>1278</v>
      </c>
      <c r="C66" s="279"/>
      <c r="D66" s="279"/>
      <c r="E66" s="279"/>
      <c r="F66" s="279"/>
      <c r="G66" s="277"/>
      <c r="H66" s="277"/>
      <c r="I66" s="286"/>
    </row>
    <row r="67" spans="1:9" x14ac:dyDescent="0.25">
      <c r="A67" s="277">
        <v>1009960</v>
      </c>
      <c r="B67" s="279" t="s">
        <v>1279</v>
      </c>
      <c r="C67" s="277" t="s">
        <v>1110</v>
      </c>
      <c r="D67" s="279" t="s">
        <v>1280</v>
      </c>
      <c r="E67" s="279" t="s">
        <v>1281</v>
      </c>
      <c r="F67" s="279" t="s">
        <v>1164</v>
      </c>
      <c r="G67" s="282" t="s">
        <v>1282</v>
      </c>
      <c r="H67" s="283" t="s">
        <v>1283</v>
      </c>
      <c r="I67" s="287">
        <v>29.04</v>
      </c>
    </row>
    <row r="68" spans="1:9" hidden="1" x14ac:dyDescent="0.25">
      <c r="A68" s="277" t="str">
        <f>"HEADER "&amp;B68</f>
        <v>HEADER EPINEPHRINE</v>
      </c>
      <c r="B68" s="278" t="s">
        <v>1284</v>
      </c>
      <c r="C68" s="279"/>
      <c r="D68" s="279"/>
      <c r="E68" s="279"/>
      <c r="F68" s="279"/>
      <c r="G68" s="277"/>
      <c r="H68" s="277"/>
      <c r="I68" s="286"/>
    </row>
    <row r="69" spans="1:9" x14ac:dyDescent="0.25">
      <c r="A69" s="277">
        <v>1023450</v>
      </c>
      <c r="B69" s="279" t="s">
        <v>1285</v>
      </c>
      <c r="C69" s="279" t="s">
        <v>1148</v>
      </c>
      <c r="D69" s="279" t="s">
        <v>1286</v>
      </c>
      <c r="E69" s="279" t="s">
        <v>1287</v>
      </c>
      <c r="F69" s="279" t="s">
        <v>1288</v>
      </c>
      <c r="G69" s="277" t="s">
        <v>1114</v>
      </c>
      <c r="H69" s="277" t="s">
        <v>1115</v>
      </c>
      <c r="I69" s="287">
        <v>90.415000000000006</v>
      </c>
    </row>
    <row r="70" spans="1:9" x14ac:dyDescent="0.25">
      <c r="A70" s="277">
        <v>1023460</v>
      </c>
      <c r="B70" s="279" t="s">
        <v>1289</v>
      </c>
      <c r="C70" s="277" t="s">
        <v>1148</v>
      </c>
      <c r="D70" s="279" t="s">
        <v>1290</v>
      </c>
      <c r="E70" s="279" t="s">
        <v>1291</v>
      </c>
      <c r="F70" s="279" t="s">
        <v>1288</v>
      </c>
      <c r="G70" s="277" t="s">
        <v>1114</v>
      </c>
      <c r="H70" s="277" t="s">
        <v>1115</v>
      </c>
      <c r="I70" s="287">
        <v>90.415000000000006</v>
      </c>
    </row>
    <row r="71" spans="1:9" x14ac:dyDescent="0.25">
      <c r="A71" s="277">
        <v>1007670</v>
      </c>
      <c r="B71" s="279" t="s">
        <v>1292</v>
      </c>
      <c r="C71" s="277" t="s">
        <v>1110</v>
      </c>
      <c r="D71" s="279" t="s">
        <v>1293</v>
      </c>
      <c r="E71" s="279" t="s">
        <v>1294</v>
      </c>
      <c r="F71" s="279" t="s">
        <v>1164</v>
      </c>
      <c r="G71" s="277" t="s">
        <v>1114</v>
      </c>
      <c r="H71" s="277" t="s">
        <v>1115</v>
      </c>
      <c r="I71" s="287">
        <v>8.1999999999999993</v>
      </c>
    </row>
    <row r="72" spans="1:9" x14ac:dyDescent="0.25">
      <c r="A72" s="277">
        <v>1020440</v>
      </c>
      <c r="B72" s="279" t="s">
        <v>1295</v>
      </c>
      <c r="C72" s="277" t="s">
        <v>1110</v>
      </c>
      <c r="D72" s="279" t="s">
        <v>1296</v>
      </c>
      <c r="E72" s="279" t="s">
        <v>1297</v>
      </c>
      <c r="F72" s="279" t="s">
        <v>1189</v>
      </c>
      <c r="G72" s="277" t="s">
        <v>1114</v>
      </c>
      <c r="H72" s="277" t="s">
        <v>1115</v>
      </c>
      <c r="I72" s="287">
        <v>15.1</v>
      </c>
    </row>
    <row r="73" spans="1:9" hidden="1" x14ac:dyDescent="0.25">
      <c r="A73" s="277" t="str">
        <f>"HEADER "&amp;B73</f>
        <v>HEADER ETOMIDATE/AMIDATE</v>
      </c>
      <c r="B73" s="278" t="s">
        <v>1298</v>
      </c>
      <c r="C73" s="279"/>
      <c r="D73" s="279"/>
      <c r="E73" s="279"/>
      <c r="F73" s="279"/>
      <c r="G73" s="277"/>
      <c r="H73" s="277"/>
      <c r="I73" s="286"/>
    </row>
    <row r="74" spans="1:9" x14ac:dyDescent="0.25">
      <c r="A74" s="277">
        <v>1020560</v>
      </c>
      <c r="B74" s="279" t="s">
        <v>1299</v>
      </c>
      <c r="C74" s="277" t="s">
        <v>1148</v>
      </c>
      <c r="D74" s="279" t="s">
        <v>1300</v>
      </c>
      <c r="E74" s="279" t="s">
        <v>1301</v>
      </c>
      <c r="F74" s="279" t="s">
        <v>1130</v>
      </c>
      <c r="G74" s="277" t="s">
        <v>1114</v>
      </c>
      <c r="H74" s="283" t="s">
        <v>1283</v>
      </c>
      <c r="I74" s="287">
        <v>2.6190000000000002</v>
      </c>
    </row>
    <row r="75" spans="1:9" x14ac:dyDescent="0.25">
      <c r="A75" s="277">
        <v>1016160</v>
      </c>
      <c r="B75" s="279" t="s">
        <v>1302</v>
      </c>
      <c r="C75" s="277" t="s">
        <v>1148</v>
      </c>
      <c r="D75" s="279" t="s">
        <v>1303</v>
      </c>
      <c r="E75" s="279" t="s">
        <v>1304</v>
      </c>
      <c r="F75" s="279" t="s">
        <v>1133</v>
      </c>
      <c r="G75" s="277" t="s">
        <v>1114</v>
      </c>
      <c r="H75" s="283" t="s">
        <v>1283</v>
      </c>
      <c r="I75" s="287">
        <v>3.6</v>
      </c>
    </row>
    <row r="76" spans="1:9" hidden="1" x14ac:dyDescent="0.25">
      <c r="A76" s="277" t="str">
        <f>"HEADER "&amp;B76</f>
        <v>HEADER FAMOTIDINE</v>
      </c>
      <c r="B76" s="278" t="s">
        <v>1305</v>
      </c>
      <c r="C76" s="279"/>
      <c r="D76" s="279"/>
      <c r="E76" s="279"/>
      <c r="F76" s="279"/>
      <c r="G76" s="277"/>
      <c r="H76" s="277"/>
      <c r="I76" s="286"/>
    </row>
    <row r="77" spans="1:9" x14ac:dyDescent="0.25">
      <c r="A77" s="277">
        <v>1012230</v>
      </c>
      <c r="B77" s="279" t="s">
        <v>1306</v>
      </c>
      <c r="C77" s="277" t="s">
        <v>1148</v>
      </c>
      <c r="D77" s="279" t="s">
        <v>1307</v>
      </c>
      <c r="E77" s="279" t="s">
        <v>1204</v>
      </c>
      <c r="F77" s="279" t="s">
        <v>1113</v>
      </c>
      <c r="G77" s="280" t="s">
        <v>1233</v>
      </c>
      <c r="H77" s="277" t="s">
        <v>1115</v>
      </c>
      <c r="I77" s="287">
        <v>0.9</v>
      </c>
    </row>
    <row r="78" spans="1:9" hidden="1" x14ac:dyDescent="0.25">
      <c r="A78" s="277" t="str">
        <f>"HEADER "&amp;B78</f>
        <v>HEADER FLUMAZENIL/ROMAZICON</v>
      </c>
      <c r="B78" s="278" t="s">
        <v>1308</v>
      </c>
      <c r="C78" s="279"/>
      <c r="D78" s="279"/>
      <c r="E78" s="279"/>
      <c r="F78" s="279"/>
      <c r="G78" s="277"/>
      <c r="H78" s="277"/>
      <c r="I78" s="286"/>
    </row>
    <row r="79" spans="1:9" x14ac:dyDescent="0.25">
      <c r="A79" s="277">
        <v>1000570</v>
      </c>
      <c r="B79" s="279" t="s">
        <v>1309</v>
      </c>
      <c r="C79" s="277" t="s">
        <v>1110</v>
      </c>
      <c r="D79" s="279" t="s">
        <v>1310</v>
      </c>
      <c r="E79" s="279" t="s">
        <v>1173</v>
      </c>
      <c r="F79" s="279" t="s">
        <v>1211</v>
      </c>
      <c r="G79" s="277" t="s">
        <v>1114</v>
      </c>
      <c r="H79" s="277" t="s">
        <v>1115</v>
      </c>
      <c r="I79" s="287">
        <v>2.879</v>
      </c>
    </row>
    <row r="80" spans="1:9" x14ac:dyDescent="0.25">
      <c r="A80" s="277">
        <v>1000560</v>
      </c>
      <c r="B80" s="279" t="s">
        <v>1311</v>
      </c>
      <c r="C80" s="277" t="s">
        <v>1110</v>
      </c>
      <c r="D80" s="279" t="s">
        <v>1312</v>
      </c>
      <c r="E80" s="279" t="s">
        <v>1297</v>
      </c>
      <c r="F80" s="279" t="s">
        <v>1130</v>
      </c>
      <c r="G80" s="277" t="s">
        <v>1114</v>
      </c>
      <c r="H80" s="277" t="s">
        <v>1115</v>
      </c>
      <c r="I80" s="287">
        <v>6.7990000000000004</v>
      </c>
    </row>
    <row r="81" spans="1:9" hidden="1" x14ac:dyDescent="0.25">
      <c r="A81" s="277" t="str">
        <f>"HEADER "&amp;B81</f>
        <v>HEADER FUROSEMIDE/LASIX</v>
      </c>
      <c r="B81" s="278" t="s">
        <v>1313</v>
      </c>
      <c r="C81" s="279"/>
      <c r="D81" s="279"/>
      <c r="E81" s="279"/>
      <c r="F81" s="279"/>
      <c r="G81" s="277"/>
      <c r="H81" s="277"/>
      <c r="I81" s="286"/>
    </row>
    <row r="82" spans="1:9" x14ac:dyDescent="0.25">
      <c r="A82" s="277">
        <v>1016580</v>
      </c>
      <c r="B82" s="279" t="s">
        <v>1314</v>
      </c>
      <c r="C82" s="277" t="s">
        <v>1110</v>
      </c>
      <c r="D82" s="279" t="s">
        <v>1315</v>
      </c>
      <c r="E82" s="279" t="s">
        <v>1204</v>
      </c>
      <c r="F82" s="279" t="s">
        <v>1113</v>
      </c>
      <c r="G82" s="277" t="s">
        <v>1114</v>
      </c>
      <c r="H82" s="277" t="s">
        <v>1115</v>
      </c>
      <c r="I82" s="287">
        <v>2.1</v>
      </c>
    </row>
    <row r="83" spans="1:9" x14ac:dyDescent="0.25">
      <c r="A83" s="277">
        <v>1016590</v>
      </c>
      <c r="B83" s="279" t="s">
        <v>1316</v>
      </c>
      <c r="C83" s="277" t="s">
        <v>1110</v>
      </c>
      <c r="D83" s="279" t="s">
        <v>1317</v>
      </c>
      <c r="E83" s="279" t="s">
        <v>1204</v>
      </c>
      <c r="F83" s="279" t="s">
        <v>1118</v>
      </c>
      <c r="G83" s="277" t="s">
        <v>1114</v>
      </c>
      <c r="H83" s="277" t="s">
        <v>1115</v>
      </c>
      <c r="I83" s="287">
        <v>2.8</v>
      </c>
    </row>
    <row r="84" spans="1:9" x14ac:dyDescent="0.25">
      <c r="A84" s="277">
        <v>1016570</v>
      </c>
      <c r="B84" s="279" t="s">
        <v>1318</v>
      </c>
      <c r="C84" s="277" t="s">
        <v>1110</v>
      </c>
      <c r="D84" s="279" t="s">
        <v>1319</v>
      </c>
      <c r="E84" s="279" t="s">
        <v>1204</v>
      </c>
      <c r="F84" s="279" t="s">
        <v>1130</v>
      </c>
      <c r="G84" s="277" t="s">
        <v>1114</v>
      </c>
      <c r="H84" s="277" t="s">
        <v>1115</v>
      </c>
      <c r="I84" s="287">
        <v>3.2</v>
      </c>
    </row>
    <row r="85" spans="1:9" hidden="1" x14ac:dyDescent="0.25">
      <c r="A85" s="277" t="str">
        <f>"HEADER "&amp;B85</f>
        <v>HEADER GLUCOSE</v>
      </c>
      <c r="B85" s="278" t="s">
        <v>1320</v>
      </c>
      <c r="C85" s="279"/>
      <c r="D85" s="279"/>
      <c r="E85" s="279"/>
      <c r="F85" s="279"/>
      <c r="G85" s="277"/>
      <c r="H85" s="277"/>
      <c r="I85" s="286"/>
    </row>
    <row r="86" spans="1:9" x14ac:dyDescent="0.25">
      <c r="A86" s="277">
        <v>1025070</v>
      </c>
      <c r="B86" s="279" t="s">
        <v>1600</v>
      </c>
      <c r="C86" s="279" t="s">
        <v>1110</v>
      </c>
      <c r="D86" s="279" t="s">
        <v>1601</v>
      </c>
      <c r="E86" s="279" t="s">
        <v>1602</v>
      </c>
      <c r="F86" s="279" t="s">
        <v>1603</v>
      </c>
      <c r="G86" s="277" t="s">
        <v>1114</v>
      </c>
      <c r="H86" s="277" t="s">
        <v>1115</v>
      </c>
      <c r="I86" s="287">
        <v>1.38946666666667</v>
      </c>
    </row>
    <row r="87" spans="1:9" hidden="1" x14ac:dyDescent="0.25">
      <c r="A87" s="277" t="str">
        <f>"HEADER "&amp;B87</f>
        <v>HEADER GLYCOPYRROLATE/ROBINUL</v>
      </c>
      <c r="B87" s="278" t="s">
        <v>1321</v>
      </c>
      <c r="C87" s="279"/>
      <c r="D87" s="279"/>
      <c r="E87" s="279"/>
      <c r="F87" s="279"/>
      <c r="G87" s="277"/>
      <c r="H87" s="277"/>
      <c r="I87" s="286"/>
    </row>
    <row r="88" spans="1:9" x14ac:dyDescent="0.25">
      <c r="A88" s="277">
        <v>1013070</v>
      </c>
      <c r="B88" s="279" t="s">
        <v>1322</v>
      </c>
      <c r="C88" s="277" t="s">
        <v>1110</v>
      </c>
      <c r="D88" s="279" t="s">
        <v>1323</v>
      </c>
      <c r="E88" s="279" t="s">
        <v>1324</v>
      </c>
      <c r="F88" s="279" t="s">
        <v>1164</v>
      </c>
      <c r="G88" s="277" t="s">
        <v>1114</v>
      </c>
      <c r="H88" s="277" t="s">
        <v>1115</v>
      </c>
      <c r="I88" s="287">
        <v>0.58919999999999995</v>
      </c>
    </row>
    <row r="89" spans="1:9" x14ac:dyDescent="0.25">
      <c r="A89" s="277">
        <v>1018040</v>
      </c>
      <c r="B89" s="279" t="s">
        <v>1325</v>
      </c>
      <c r="C89" s="277" t="s">
        <v>1110</v>
      </c>
      <c r="D89" s="279" t="s">
        <v>1326</v>
      </c>
      <c r="E89" s="279" t="s">
        <v>1324</v>
      </c>
      <c r="F89" s="279" t="s">
        <v>1211</v>
      </c>
      <c r="G89" s="277" t="s">
        <v>1114</v>
      </c>
      <c r="H89" s="277" t="s">
        <v>1115</v>
      </c>
      <c r="I89" s="287">
        <v>2.12</v>
      </c>
    </row>
    <row r="90" spans="1:9" hidden="1" x14ac:dyDescent="0.25">
      <c r="A90" s="277" t="str">
        <f>"HEADER "&amp;B90</f>
        <v>HEADER HETASTARCH</v>
      </c>
      <c r="B90" s="278" t="s">
        <v>1327</v>
      </c>
      <c r="C90" s="279"/>
      <c r="D90" s="279"/>
      <c r="E90" s="279"/>
      <c r="F90" s="279"/>
      <c r="G90" s="277"/>
      <c r="H90" s="277"/>
      <c r="I90" s="286"/>
    </row>
    <row r="91" spans="1:9" x14ac:dyDescent="0.25">
      <c r="A91" s="277">
        <v>1009750</v>
      </c>
      <c r="B91" s="279" t="s">
        <v>1328</v>
      </c>
      <c r="C91" s="277" t="s">
        <v>1110</v>
      </c>
      <c r="D91" s="279" t="s">
        <v>1329</v>
      </c>
      <c r="E91" s="279" t="s">
        <v>1330</v>
      </c>
      <c r="F91" s="279" t="s">
        <v>1269</v>
      </c>
      <c r="G91" s="277" t="s">
        <v>1114</v>
      </c>
      <c r="H91" s="277" t="s">
        <v>1115</v>
      </c>
      <c r="I91" s="288">
        <v>77.197500000000005</v>
      </c>
    </row>
    <row r="92" spans="1:9" hidden="1" x14ac:dyDescent="0.25">
      <c r="A92" s="277" t="str">
        <f>"HEADER "&amp;B92</f>
        <v>HEADER HEPARIN</v>
      </c>
      <c r="B92" s="278" t="s">
        <v>1331</v>
      </c>
      <c r="C92" s="279"/>
      <c r="D92" s="279"/>
      <c r="E92" s="279"/>
      <c r="F92" s="279"/>
      <c r="G92" s="277"/>
      <c r="H92" s="277"/>
      <c r="I92" s="286"/>
    </row>
    <row r="93" spans="1:9" x14ac:dyDescent="0.25">
      <c r="A93" s="277">
        <v>1013060</v>
      </c>
      <c r="B93" s="279" t="s">
        <v>1332</v>
      </c>
      <c r="C93" s="279" t="s">
        <v>1110</v>
      </c>
      <c r="D93" s="279" t="s">
        <v>1333</v>
      </c>
      <c r="E93" s="279" t="s">
        <v>1334</v>
      </c>
      <c r="F93" s="279" t="s">
        <v>1164</v>
      </c>
      <c r="G93" s="277" t="s">
        <v>1114</v>
      </c>
      <c r="H93" s="277" t="s">
        <v>1115</v>
      </c>
      <c r="I93" s="287">
        <v>3.2096</v>
      </c>
    </row>
    <row r="94" spans="1:9" x14ac:dyDescent="0.25">
      <c r="A94" s="277">
        <v>1012150</v>
      </c>
      <c r="B94" s="279" t="s">
        <v>1335</v>
      </c>
      <c r="C94" s="277" t="s">
        <v>1110</v>
      </c>
      <c r="D94" s="279" t="s">
        <v>1336</v>
      </c>
      <c r="E94" s="279" t="s">
        <v>1337</v>
      </c>
      <c r="F94" s="279" t="s">
        <v>1211</v>
      </c>
      <c r="G94" s="277" t="s">
        <v>1114</v>
      </c>
      <c r="H94" s="277" t="s">
        <v>1115</v>
      </c>
      <c r="I94" s="287">
        <v>25.67</v>
      </c>
    </row>
    <row r="95" spans="1:9" x14ac:dyDescent="0.25">
      <c r="A95" s="277">
        <v>1011890</v>
      </c>
      <c r="B95" s="279" t="s">
        <v>1338</v>
      </c>
      <c r="C95" s="277" t="s">
        <v>1110</v>
      </c>
      <c r="D95" s="279" t="s">
        <v>1339</v>
      </c>
      <c r="E95" s="279" t="s">
        <v>1340</v>
      </c>
      <c r="F95" s="279" t="s">
        <v>1341</v>
      </c>
      <c r="G95" s="277" t="s">
        <v>1114</v>
      </c>
      <c r="H95" s="277" t="s">
        <v>1115</v>
      </c>
      <c r="I95" s="287">
        <v>14.2258333333333</v>
      </c>
    </row>
    <row r="96" spans="1:9" hidden="1" x14ac:dyDescent="0.25">
      <c r="A96" s="277" t="str">
        <f>"HEADER "&amp;B96</f>
        <v>HEADER HYDRALAZINE/APRESOLINE</v>
      </c>
      <c r="B96" s="278" t="s">
        <v>1342</v>
      </c>
      <c r="C96" s="279"/>
      <c r="D96" s="279"/>
      <c r="E96" s="279"/>
      <c r="F96" s="279"/>
      <c r="G96" s="277"/>
      <c r="H96" s="277"/>
      <c r="I96" s="286"/>
    </row>
    <row r="97" spans="1:9" x14ac:dyDescent="0.25">
      <c r="A97" s="277">
        <v>1012170</v>
      </c>
      <c r="B97" s="279" t="s">
        <v>1343</v>
      </c>
      <c r="C97" s="277" t="s">
        <v>1110</v>
      </c>
      <c r="D97" s="279" t="s">
        <v>1344</v>
      </c>
      <c r="E97" s="279" t="s">
        <v>1345</v>
      </c>
      <c r="F97" s="279" t="s">
        <v>1164</v>
      </c>
      <c r="G97" s="277" t="s">
        <v>1114</v>
      </c>
      <c r="H97" s="277" t="s">
        <v>1115</v>
      </c>
      <c r="I97" s="287">
        <v>17.04</v>
      </c>
    </row>
    <row r="98" spans="1:9" hidden="1" x14ac:dyDescent="0.25">
      <c r="A98" s="277" t="str">
        <f>"HEADER "&amp;B98</f>
        <v>HEADER HYDROCORTISONE/ SOLU-CORTEF</v>
      </c>
      <c r="B98" s="278" t="s">
        <v>1346</v>
      </c>
      <c r="C98" s="279"/>
      <c r="D98" s="279"/>
      <c r="E98" s="279"/>
      <c r="F98" s="279"/>
      <c r="G98" s="277"/>
      <c r="H98" s="277"/>
      <c r="I98" s="286"/>
    </row>
    <row r="99" spans="1:9" x14ac:dyDescent="0.25">
      <c r="A99" s="277">
        <v>1000640</v>
      </c>
      <c r="B99" s="279" t="s">
        <v>1347</v>
      </c>
      <c r="C99" s="277" t="s">
        <v>1110</v>
      </c>
      <c r="D99" s="279" t="s">
        <v>1348</v>
      </c>
      <c r="E99" s="279" t="s">
        <v>1349</v>
      </c>
      <c r="F99" s="279" t="s">
        <v>1113</v>
      </c>
      <c r="G99" s="277" t="s">
        <v>1114</v>
      </c>
      <c r="H99" s="277" t="s">
        <v>1115</v>
      </c>
      <c r="I99" s="287">
        <v>26.042400000000001</v>
      </c>
    </row>
    <row r="100" spans="1:9" x14ac:dyDescent="0.25">
      <c r="A100" s="277">
        <v>1000650</v>
      </c>
      <c r="B100" s="279" t="s">
        <v>1350</v>
      </c>
      <c r="C100" s="277" t="s">
        <v>1110</v>
      </c>
      <c r="D100" s="279" t="s">
        <v>1351</v>
      </c>
      <c r="E100" s="279" t="s">
        <v>1352</v>
      </c>
      <c r="F100" s="279" t="s">
        <v>1113</v>
      </c>
      <c r="G100" s="277" t="s">
        <v>1114</v>
      </c>
      <c r="H100" s="277" t="s">
        <v>1115</v>
      </c>
      <c r="I100" s="287">
        <v>50.459200000000003</v>
      </c>
    </row>
    <row r="101" spans="1:9" hidden="1" x14ac:dyDescent="0.25">
      <c r="A101" s="277" t="str">
        <f>"HEADER "&amp;B101</f>
        <v>HEADER HYALURONIDASE</v>
      </c>
      <c r="B101" s="278" t="s">
        <v>1353</v>
      </c>
      <c r="C101" s="279"/>
      <c r="D101" s="279"/>
      <c r="E101" s="279"/>
      <c r="F101" s="279"/>
      <c r="G101" s="277"/>
      <c r="H101" s="277"/>
      <c r="I101" s="286"/>
    </row>
    <row r="102" spans="1:9" x14ac:dyDescent="0.25">
      <c r="A102" s="277">
        <v>1016120</v>
      </c>
      <c r="B102" s="279" t="s">
        <v>1354</v>
      </c>
      <c r="C102" s="277" t="s">
        <v>1148</v>
      </c>
      <c r="D102" s="279" t="s">
        <v>1355</v>
      </c>
      <c r="E102" s="279" t="s">
        <v>1356</v>
      </c>
      <c r="F102" s="279" t="s">
        <v>1164</v>
      </c>
      <c r="G102" s="280" t="s">
        <v>1233</v>
      </c>
      <c r="H102" s="277" t="s">
        <v>1115</v>
      </c>
      <c r="I102" s="287">
        <v>59.147500000000001</v>
      </c>
    </row>
    <row r="103" spans="1:9" hidden="1" x14ac:dyDescent="0.25">
      <c r="A103" s="277" t="str">
        <f>"HEADER "&amp;B103</f>
        <v>HEADER KETOROLAC TROMETHAMINE/TORADOL</v>
      </c>
      <c r="B103" s="278" t="s">
        <v>1357</v>
      </c>
      <c r="C103" s="279"/>
      <c r="D103" s="279"/>
      <c r="E103" s="279"/>
      <c r="F103" s="279"/>
      <c r="G103" s="277"/>
      <c r="H103" s="277"/>
      <c r="I103" s="286"/>
    </row>
    <row r="104" spans="1:9" x14ac:dyDescent="0.25">
      <c r="A104" s="277">
        <v>1008010</v>
      </c>
      <c r="B104" s="279" t="s">
        <v>1358</v>
      </c>
      <c r="C104" s="277" t="s">
        <v>1110</v>
      </c>
      <c r="D104" s="279" t="s">
        <v>1359</v>
      </c>
      <c r="E104" s="279" t="s">
        <v>1360</v>
      </c>
      <c r="F104" s="279" t="s">
        <v>1164</v>
      </c>
      <c r="G104" s="277" t="s">
        <v>1114</v>
      </c>
      <c r="H104" s="277" t="s">
        <v>1115</v>
      </c>
      <c r="I104" s="287">
        <v>0.35</v>
      </c>
    </row>
    <row r="105" spans="1:9" x14ac:dyDescent="0.25">
      <c r="A105" s="277">
        <v>1008040</v>
      </c>
      <c r="B105" s="279" t="s">
        <v>1361</v>
      </c>
      <c r="C105" s="277" t="s">
        <v>1110</v>
      </c>
      <c r="D105" s="279" t="s">
        <v>1362</v>
      </c>
      <c r="E105" s="279" t="s">
        <v>1363</v>
      </c>
      <c r="F105" s="279" t="s">
        <v>1113</v>
      </c>
      <c r="G105" s="277" t="s">
        <v>1114</v>
      </c>
      <c r="H105" s="277" t="s">
        <v>1115</v>
      </c>
      <c r="I105" s="287">
        <v>0.7</v>
      </c>
    </row>
    <row r="106" spans="1:9" hidden="1" x14ac:dyDescent="0.25">
      <c r="A106" s="277" t="str">
        <f>"HEADER "&amp;B106</f>
        <v>HEADER LABETALOL / METOPROLOL/PROPANOLOL/ESMOLOL</v>
      </c>
      <c r="B106" s="278" t="s">
        <v>1364</v>
      </c>
      <c r="C106" s="279"/>
      <c r="D106" s="279"/>
      <c r="E106" s="279"/>
      <c r="F106" s="279"/>
      <c r="G106" s="277"/>
      <c r="H106" s="277"/>
      <c r="I106" s="286"/>
    </row>
    <row r="107" spans="1:9" x14ac:dyDescent="0.25">
      <c r="A107" s="277">
        <v>1012640</v>
      </c>
      <c r="B107" s="279" t="s">
        <v>1365</v>
      </c>
      <c r="C107" s="277" t="s">
        <v>1110</v>
      </c>
      <c r="D107" s="279" t="s">
        <v>1366</v>
      </c>
      <c r="E107" s="279" t="s">
        <v>1204</v>
      </c>
      <c r="F107" s="279" t="s">
        <v>1130</v>
      </c>
      <c r="G107" s="277" t="s">
        <v>1114</v>
      </c>
      <c r="H107" s="277" t="s">
        <v>1115</v>
      </c>
      <c r="I107" s="287">
        <v>2.04</v>
      </c>
    </row>
    <row r="108" spans="1:9" x14ac:dyDescent="0.25">
      <c r="A108" s="277">
        <v>1018070</v>
      </c>
      <c r="B108" s="279" t="s">
        <v>1367</v>
      </c>
      <c r="C108" s="277" t="s">
        <v>1110</v>
      </c>
      <c r="D108" s="279" t="s">
        <v>1368</v>
      </c>
      <c r="E108" s="279" t="s">
        <v>1181</v>
      </c>
      <c r="F108" s="279" t="s">
        <v>1133</v>
      </c>
      <c r="G108" s="277" t="s">
        <v>1114</v>
      </c>
      <c r="H108" s="277" t="s">
        <v>1115</v>
      </c>
      <c r="I108" s="287">
        <v>7</v>
      </c>
    </row>
    <row r="109" spans="1:9" x14ac:dyDescent="0.25">
      <c r="A109" s="277">
        <v>1012980</v>
      </c>
      <c r="B109" s="279" t="s">
        <v>1369</v>
      </c>
      <c r="C109" s="277" t="s">
        <v>1110</v>
      </c>
      <c r="D109" s="279" t="s">
        <v>1370</v>
      </c>
      <c r="E109" s="279" t="s">
        <v>1167</v>
      </c>
      <c r="F109" s="279" t="s">
        <v>1211</v>
      </c>
      <c r="G109" s="277" t="s">
        <v>1114</v>
      </c>
      <c r="H109" s="277" t="s">
        <v>1115</v>
      </c>
      <c r="I109" s="287">
        <v>1.444</v>
      </c>
    </row>
    <row r="110" spans="1:9" x14ac:dyDescent="0.25">
      <c r="A110" s="277">
        <v>1010110</v>
      </c>
      <c r="B110" s="279" t="s">
        <v>1371</v>
      </c>
      <c r="C110" s="277" t="s">
        <v>1110</v>
      </c>
      <c r="D110" s="279" t="s">
        <v>1372</v>
      </c>
      <c r="E110" s="279" t="s">
        <v>1167</v>
      </c>
      <c r="F110" s="279" t="s">
        <v>1164</v>
      </c>
      <c r="G110" s="277" t="s">
        <v>1114</v>
      </c>
      <c r="H110" s="277" t="s">
        <v>1115</v>
      </c>
      <c r="I110" s="287">
        <v>2.468</v>
      </c>
    </row>
    <row r="111" spans="1:9" hidden="1" x14ac:dyDescent="0.25">
      <c r="A111" s="277" t="str">
        <f>"HEADER "&amp;B111</f>
        <v>HEADER LACTATED RINGER'S</v>
      </c>
      <c r="B111" s="278" t="s">
        <v>1373</v>
      </c>
      <c r="C111" s="279"/>
      <c r="D111" s="279"/>
      <c r="E111" s="279"/>
      <c r="F111" s="279"/>
      <c r="G111" s="277"/>
      <c r="H111" s="277"/>
      <c r="I111" s="286"/>
    </row>
    <row r="112" spans="1:9" x14ac:dyDescent="0.25">
      <c r="A112" s="277">
        <v>1014210</v>
      </c>
      <c r="B112" s="279" t="s">
        <v>1374</v>
      </c>
      <c r="C112" s="277" t="s">
        <v>1110</v>
      </c>
      <c r="D112" s="279" t="s">
        <v>1375</v>
      </c>
      <c r="E112" s="279" t="s">
        <v>1376</v>
      </c>
      <c r="F112" s="279" t="s">
        <v>1377</v>
      </c>
      <c r="G112" s="277" t="s">
        <v>1114</v>
      </c>
      <c r="H112" s="277" t="s">
        <v>1115</v>
      </c>
      <c r="I112" s="287">
        <v>4.75</v>
      </c>
    </row>
    <row r="113" spans="1:9" x14ac:dyDescent="0.25">
      <c r="A113" s="277">
        <v>1013810</v>
      </c>
      <c r="B113" s="279" t="s">
        <v>1378</v>
      </c>
      <c r="C113" s="277" t="s">
        <v>1110</v>
      </c>
      <c r="D113" s="279" t="s">
        <v>1379</v>
      </c>
      <c r="E113" s="279"/>
      <c r="F113" s="279" t="s">
        <v>1377</v>
      </c>
      <c r="G113" s="277" t="s">
        <v>1114</v>
      </c>
      <c r="H113" s="277" t="s">
        <v>1115</v>
      </c>
      <c r="I113" s="287">
        <v>3.75</v>
      </c>
    </row>
    <row r="114" spans="1:9" hidden="1" x14ac:dyDescent="0.25">
      <c r="A114" s="277" t="str">
        <f>"HEADER "&amp;B114</f>
        <v>HEADER LIDOCAINE/XYLOCAINE/LIGNOCAINE</v>
      </c>
      <c r="B114" s="278" t="s">
        <v>1380</v>
      </c>
      <c r="C114" s="279"/>
      <c r="D114" s="279"/>
      <c r="E114" s="279"/>
      <c r="F114" s="279"/>
      <c r="G114" s="277"/>
      <c r="H114" s="277"/>
      <c r="I114" s="286"/>
    </row>
    <row r="115" spans="1:9" x14ac:dyDescent="0.25">
      <c r="A115" s="277">
        <v>1012280</v>
      </c>
      <c r="B115" s="279" t="s">
        <v>1381</v>
      </c>
      <c r="C115" s="279" t="s">
        <v>1110</v>
      </c>
      <c r="D115" s="279" t="s">
        <v>1382</v>
      </c>
      <c r="E115" s="279" t="s">
        <v>1383</v>
      </c>
      <c r="F115" s="279" t="s">
        <v>1182</v>
      </c>
      <c r="G115" s="277" t="s">
        <v>1114</v>
      </c>
      <c r="H115" s="277" t="s">
        <v>1115</v>
      </c>
      <c r="I115" s="287">
        <v>1.9</v>
      </c>
    </row>
    <row r="116" spans="1:9" x14ac:dyDescent="0.25">
      <c r="A116" s="277">
        <v>1012580</v>
      </c>
      <c r="B116" s="279" t="s">
        <v>1384</v>
      </c>
      <c r="C116" s="277" t="s">
        <v>1110</v>
      </c>
      <c r="D116" s="279" t="s">
        <v>1385</v>
      </c>
      <c r="E116" s="279" t="s">
        <v>1204</v>
      </c>
      <c r="F116" s="279" t="s">
        <v>1211</v>
      </c>
      <c r="G116" s="277" t="s">
        <v>1114</v>
      </c>
      <c r="H116" s="277" t="s">
        <v>1115</v>
      </c>
      <c r="I116" s="287">
        <v>0.8</v>
      </c>
    </row>
    <row r="117" spans="1:9" x14ac:dyDescent="0.25">
      <c r="A117" s="277">
        <v>1012350</v>
      </c>
      <c r="B117" s="279" t="s">
        <v>1631</v>
      </c>
      <c r="C117" s="277" t="s">
        <v>1110</v>
      </c>
      <c r="D117" s="279" t="s">
        <v>1632</v>
      </c>
      <c r="E117" s="279" t="s">
        <v>1345</v>
      </c>
      <c r="F117" s="279" t="s">
        <v>1211</v>
      </c>
      <c r="G117" s="277" t="s">
        <v>1114</v>
      </c>
      <c r="H117" s="277" t="s">
        <v>1115</v>
      </c>
      <c r="I117" s="287">
        <v>1.528</v>
      </c>
    </row>
    <row r="118" spans="1:9" x14ac:dyDescent="0.25">
      <c r="A118" s="277">
        <v>1019980</v>
      </c>
      <c r="B118" s="279" t="s">
        <v>1386</v>
      </c>
      <c r="C118" s="279" t="s">
        <v>1110</v>
      </c>
      <c r="D118" s="279" t="s">
        <v>1387</v>
      </c>
      <c r="E118" s="279" t="s">
        <v>1204</v>
      </c>
      <c r="F118" s="279" t="s">
        <v>1133</v>
      </c>
      <c r="G118" s="277" t="s">
        <v>1114</v>
      </c>
      <c r="H118" s="277" t="s">
        <v>1115</v>
      </c>
      <c r="I118" s="287">
        <v>5.6</v>
      </c>
    </row>
    <row r="119" spans="1:9" x14ac:dyDescent="0.25">
      <c r="A119" s="277">
        <v>1013700</v>
      </c>
      <c r="B119" s="279" t="s">
        <v>1388</v>
      </c>
      <c r="C119" s="277" t="s">
        <v>1110</v>
      </c>
      <c r="D119" s="279" t="s">
        <v>1389</v>
      </c>
      <c r="E119" s="279" t="s">
        <v>1390</v>
      </c>
      <c r="F119" s="279" t="s">
        <v>1133</v>
      </c>
      <c r="G119" s="277" t="s">
        <v>1114</v>
      </c>
      <c r="H119" s="277" t="s">
        <v>1115</v>
      </c>
      <c r="I119" s="287">
        <v>5.68</v>
      </c>
    </row>
    <row r="120" spans="1:9" x14ac:dyDescent="0.25">
      <c r="A120" s="277">
        <v>1012400</v>
      </c>
      <c r="B120" s="279" t="s">
        <v>1391</v>
      </c>
      <c r="C120" s="277" t="s">
        <v>1110</v>
      </c>
      <c r="D120" s="279" t="s">
        <v>1392</v>
      </c>
      <c r="E120" s="279" t="s">
        <v>1393</v>
      </c>
      <c r="F120" s="279" t="s">
        <v>1394</v>
      </c>
      <c r="G120" s="277" t="s">
        <v>1114</v>
      </c>
      <c r="H120" s="277" t="s">
        <v>1115</v>
      </c>
      <c r="I120" s="287">
        <v>9.85</v>
      </c>
    </row>
    <row r="121" spans="1:9" x14ac:dyDescent="0.25">
      <c r="A121" s="277">
        <v>1012160</v>
      </c>
      <c r="B121" s="279" t="s">
        <v>1395</v>
      </c>
      <c r="C121" s="277" t="s">
        <v>1110</v>
      </c>
      <c r="D121" s="279" t="s">
        <v>1396</v>
      </c>
      <c r="E121" s="279" t="s">
        <v>1345</v>
      </c>
      <c r="F121" s="279" t="s">
        <v>1211</v>
      </c>
      <c r="G121" s="277" t="s">
        <v>1114</v>
      </c>
      <c r="H121" s="277" t="s">
        <v>1115</v>
      </c>
      <c r="I121" s="287">
        <v>6.32</v>
      </c>
    </row>
    <row r="122" spans="1:9" x14ac:dyDescent="0.25">
      <c r="A122" s="277">
        <v>1008590</v>
      </c>
      <c r="B122" s="279" t="s">
        <v>1397</v>
      </c>
      <c r="C122" s="277" t="s">
        <v>1110</v>
      </c>
      <c r="D122" s="279" t="s">
        <v>1398</v>
      </c>
      <c r="E122" s="279" t="s">
        <v>1399</v>
      </c>
      <c r="F122" s="279" t="s">
        <v>1269</v>
      </c>
      <c r="G122" s="277" t="s">
        <v>1114</v>
      </c>
      <c r="H122" s="277" t="s">
        <v>1115</v>
      </c>
      <c r="I122" s="287">
        <v>7.2061111111111096</v>
      </c>
    </row>
    <row r="123" spans="1:9" hidden="1" x14ac:dyDescent="0.25">
      <c r="A123" s="277" t="str">
        <f>"HEADER "&amp;B123</f>
        <v>HEADER MAGNESIUM SULFATE</v>
      </c>
      <c r="B123" s="278" t="s">
        <v>1400</v>
      </c>
      <c r="C123" s="279"/>
      <c r="D123" s="279"/>
      <c r="E123" s="279"/>
      <c r="F123" s="279"/>
      <c r="G123" s="277"/>
      <c r="H123" s="277"/>
      <c r="I123" s="286"/>
    </row>
    <row r="124" spans="1:9" x14ac:dyDescent="0.25">
      <c r="A124" s="277">
        <v>1011950</v>
      </c>
      <c r="B124" s="279" t="s">
        <v>1401</v>
      </c>
      <c r="C124" s="277" t="s">
        <v>1110</v>
      </c>
      <c r="D124" s="279" t="s">
        <v>1402</v>
      </c>
      <c r="E124" s="279" t="s">
        <v>1403</v>
      </c>
      <c r="F124" s="279" t="s">
        <v>1113</v>
      </c>
      <c r="G124" s="277" t="s">
        <v>1114</v>
      </c>
      <c r="H124" s="277" t="s">
        <v>1115</v>
      </c>
      <c r="I124" s="287">
        <v>2.58</v>
      </c>
    </row>
    <row r="125" spans="1:9" x14ac:dyDescent="0.25">
      <c r="A125" s="277">
        <v>1012710</v>
      </c>
      <c r="B125" s="279" t="s">
        <v>1404</v>
      </c>
      <c r="C125" s="277" t="s">
        <v>1110</v>
      </c>
      <c r="D125" s="279" t="s">
        <v>1405</v>
      </c>
      <c r="E125" s="279" t="s">
        <v>1406</v>
      </c>
      <c r="F125" s="279" t="s">
        <v>1130</v>
      </c>
      <c r="G125" s="277" t="s">
        <v>1114</v>
      </c>
      <c r="H125" s="277" t="s">
        <v>1115</v>
      </c>
      <c r="I125" s="287">
        <v>3.21</v>
      </c>
    </row>
    <row r="126" spans="1:9" x14ac:dyDescent="0.25">
      <c r="A126" s="277">
        <v>1010230</v>
      </c>
      <c r="B126" s="279" t="s">
        <v>1407</v>
      </c>
      <c r="C126" s="277" t="s">
        <v>1110</v>
      </c>
      <c r="D126" s="279" t="s">
        <v>1408</v>
      </c>
      <c r="E126" s="279" t="s">
        <v>1258</v>
      </c>
      <c r="F126" s="279" t="s">
        <v>1178</v>
      </c>
      <c r="G126" s="277" t="s">
        <v>1114</v>
      </c>
      <c r="H126" s="277" t="s">
        <v>1115</v>
      </c>
      <c r="I126" s="287">
        <v>14.36125</v>
      </c>
    </row>
    <row r="127" spans="1:9" x14ac:dyDescent="0.25">
      <c r="A127" s="277">
        <v>1000390</v>
      </c>
      <c r="B127" s="279" t="s">
        <v>1409</v>
      </c>
      <c r="C127" s="277" t="s">
        <v>1110</v>
      </c>
      <c r="D127" s="279" t="s">
        <v>1410</v>
      </c>
      <c r="E127" s="279" t="s">
        <v>1411</v>
      </c>
      <c r="F127" s="279" t="s">
        <v>1130</v>
      </c>
      <c r="G127" s="277" t="s">
        <v>1114</v>
      </c>
      <c r="H127" s="277" t="s">
        <v>1115</v>
      </c>
      <c r="I127" s="287">
        <v>40.377000000000002</v>
      </c>
    </row>
    <row r="128" spans="1:9" hidden="1" x14ac:dyDescent="0.25">
      <c r="A128" s="277" t="str">
        <f>"HEADER "&amp;B128</f>
        <v>HEADER MANNITOL</v>
      </c>
      <c r="B128" s="278" t="s">
        <v>1412</v>
      </c>
      <c r="C128" s="279"/>
      <c r="D128" s="279"/>
      <c r="E128" s="279"/>
      <c r="F128" s="279"/>
      <c r="G128" s="277"/>
      <c r="H128" s="277"/>
      <c r="I128" s="286"/>
    </row>
    <row r="129" spans="1:9" x14ac:dyDescent="0.25">
      <c r="A129" s="277">
        <v>1012880</v>
      </c>
      <c r="B129" s="279" t="s">
        <v>1413</v>
      </c>
      <c r="C129" s="277" t="s">
        <v>1110</v>
      </c>
      <c r="D129" s="279" t="s">
        <v>1414</v>
      </c>
      <c r="E129" s="279" t="s">
        <v>1215</v>
      </c>
      <c r="F129" s="279" t="s">
        <v>1178</v>
      </c>
      <c r="G129" s="277" t="s">
        <v>1114</v>
      </c>
      <c r="H129" s="277" t="s">
        <v>1115</v>
      </c>
      <c r="I129" s="287">
        <v>4.6912000000000003</v>
      </c>
    </row>
    <row r="130" spans="1:9" hidden="1" x14ac:dyDescent="0.25">
      <c r="A130" s="277" t="str">
        <f>"HEADER "&amp;B130</f>
        <v>HEADER METHYLPREDNISOLONE/ SOLU-MEDROL</v>
      </c>
      <c r="B130" s="278" t="s">
        <v>1415</v>
      </c>
      <c r="C130" s="279"/>
      <c r="D130" s="279"/>
      <c r="E130" s="279"/>
      <c r="F130" s="279"/>
      <c r="G130" s="277"/>
      <c r="H130" s="277"/>
      <c r="I130" s="286"/>
    </row>
    <row r="131" spans="1:9" x14ac:dyDescent="0.25">
      <c r="A131" s="277">
        <v>1000670</v>
      </c>
      <c r="B131" s="279" t="s">
        <v>1416</v>
      </c>
      <c r="C131" s="277" t="s">
        <v>1110</v>
      </c>
      <c r="D131" s="279" t="s">
        <v>1417</v>
      </c>
      <c r="E131" s="279" t="s">
        <v>1418</v>
      </c>
      <c r="F131" s="279" t="s">
        <v>1164</v>
      </c>
      <c r="G131" s="277" t="s">
        <v>1114</v>
      </c>
      <c r="H131" s="277" t="s">
        <v>1115</v>
      </c>
      <c r="I131" s="287">
        <v>5.2595999999999998</v>
      </c>
    </row>
    <row r="132" spans="1:9" x14ac:dyDescent="0.25">
      <c r="A132" s="277">
        <v>1000660</v>
      </c>
      <c r="B132" s="279" t="s">
        <v>1419</v>
      </c>
      <c r="C132" s="277" t="s">
        <v>1110</v>
      </c>
      <c r="D132" s="279" t="s">
        <v>1420</v>
      </c>
      <c r="E132" s="279" t="s">
        <v>1421</v>
      </c>
      <c r="F132" s="279" t="s">
        <v>1113</v>
      </c>
      <c r="G132" s="277" t="s">
        <v>1114</v>
      </c>
      <c r="H132" s="277" t="s">
        <v>1115</v>
      </c>
      <c r="I132" s="287">
        <v>8.3699999999999992</v>
      </c>
    </row>
    <row r="133" spans="1:9" hidden="1" x14ac:dyDescent="0.25">
      <c r="A133" s="277" t="str">
        <f>"HEADER "&amp;B133</f>
        <v>HEADER METOCLOPRAMIDE</v>
      </c>
      <c r="B133" s="278" t="s">
        <v>1422</v>
      </c>
      <c r="C133" s="279"/>
      <c r="D133" s="279"/>
      <c r="E133" s="279"/>
      <c r="F133" s="279"/>
      <c r="G133" s="277"/>
      <c r="H133" s="277"/>
      <c r="I133" s="286"/>
    </row>
    <row r="134" spans="1:9" x14ac:dyDescent="0.25">
      <c r="A134" s="277">
        <v>1024070</v>
      </c>
      <c r="B134" s="279" t="s">
        <v>1423</v>
      </c>
      <c r="C134" s="279" t="s">
        <v>1110</v>
      </c>
      <c r="D134" s="279" t="s">
        <v>1424</v>
      </c>
      <c r="E134" s="279" t="s">
        <v>1181</v>
      </c>
      <c r="F134" s="279" t="s">
        <v>1113</v>
      </c>
      <c r="G134" s="277" t="s">
        <v>1114</v>
      </c>
      <c r="H134" s="277" t="s">
        <v>1115</v>
      </c>
      <c r="I134" s="287">
        <v>1.1624000000000001</v>
      </c>
    </row>
    <row r="135" spans="1:9" hidden="1" x14ac:dyDescent="0.25">
      <c r="A135" s="277" t="str">
        <f>"HEADER "&amp;B135</f>
        <v>HEADER NALBUPHINE/NUBAIN</v>
      </c>
      <c r="B135" s="278" t="s">
        <v>1425</v>
      </c>
      <c r="C135" s="279"/>
      <c r="D135" s="279"/>
      <c r="E135" s="279"/>
      <c r="F135" s="279"/>
      <c r="G135" s="277"/>
      <c r="H135" s="277"/>
      <c r="I135" s="286"/>
    </row>
    <row r="136" spans="1:9" x14ac:dyDescent="0.25">
      <c r="A136" s="277">
        <v>1011850</v>
      </c>
      <c r="B136" s="279" t="s">
        <v>1426</v>
      </c>
      <c r="C136" s="277" t="s">
        <v>1110</v>
      </c>
      <c r="D136" s="279" t="s">
        <v>1427</v>
      </c>
      <c r="E136" s="279" t="s">
        <v>1204</v>
      </c>
      <c r="F136" s="279" t="s">
        <v>1130</v>
      </c>
      <c r="G136" s="277" t="s">
        <v>1114</v>
      </c>
      <c r="H136" s="277" t="s">
        <v>1115</v>
      </c>
      <c r="I136" s="287">
        <v>53.816800000000001</v>
      </c>
    </row>
    <row r="137" spans="1:9" hidden="1" x14ac:dyDescent="0.25">
      <c r="A137" s="277" t="str">
        <f>"HEADER "&amp;B137</f>
        <v>HEADER NALOXONE</v>
      </c>
      <c r="B137" s="278" t="s">
        <v>1428</v>
      </c>
      <c r="C137" s="279"/>
      <c r="D137" s="279"/>
      <c r="E137" s="279"/>
      <c r="F137" s="279"/>
      <c r="G137" s="277"/>
      <c r="H137" s="277"/>
      <c r="I137" s="286"/>
    </row>
    <row r="138" spans="1:9" x14ac:dyDescent="0.25">
      <c r="A138" s="277">
        <v>1024160</v>
      </c>
      <c r="B138" s="279" t="s">
        <v>1429</v>
      </c>
      <c r="C138" s="279" t="s">
        <v>1110</v>
      </c>
      <c r="D138" s="279" t="s">
        <v>1430</v>
      </c>
      <c r="E138" s="279" t="s">
        <v>1163</v>
      </c>
      <c r="F138" s="279" t="s">
        <v>1164</v>
      </c>
      <c r="G138" s="277" t="s">
        <v>1114</v>
      </c>
      <c r="H138" s="277" t="s">
        <v>1115</v>
      </c>
      <c r="I138" s="287">
        <v>5.4</v>
      </c>
    </row>
    <row r="139" spans="1:9" x14ac:dyDescent="0.25">
      <c r="A139" s="277">
        <v>1011800</v>
      </c>
      <c r="B139" s="279" t="s">
        <v>1431</v>
      </c>
      <c r="C139" s="277" t="s">
        <v>1110</v>
      </c>
      <c r="D139" s="279" t="s">
        <v>1432</v>
      </c>
      <c r="E139" s="279" t="s">
        <v>1163</v>
      </c>
      <c r="F139" s="279" t="s">
        <v>1130</v>
      </c>
      <c r="G139" s="277" t="s">
        <v>1114</v>
      </c>
      <c r="H139" s="277" t="s">
        <v>1115</v>
      </c>
      <c r="I139" s="287">
        <v>116.184</v>
      </c>
    </row>
    <row r="140" spans="1:9" x14ac:dyDescent="0.25">
      <c r="A140" s="277">
        <v>1024630</v>
      </c>
      <c r="B140" s="279" t="s">
        <v>1609</v>
      </c>
      <c r="C140" s="279" t="s">
        <v>1110</v>
      </c>
      <c r="D140" s="279" t="s">
        <v>1610</v>
      </c>
      <c r="E140" s="279" t="s">
        <v>1163</v>
      </c>
      <c r="F140" s="279" t="s">
        <v>1130</v>
      </c>
      <c r="G140" s="277" t="s">
        <v>1114</v>
      </c>
      <c r="H140" s="277" t="s">
        <v>1115</v>
      </c>
      <c r="I140" s="287">
        <v>28.2</v>
      </c>
    </row>
    <row r="141" spans="1:9" x14ac:dyDescent="0.25">
      <c r="A141" s="277">
        <v>1017790</v>
      </c>
      <c r="B141" s="279" t="s">
        <v>1433</v>
      </c>
      <c r="C141" s="277" t="s">
        <v>1110</v>
      </c>
      <c r="D141" s="279" t="s">
        <v>1434</v>
      </c>
      <c r="E141" s="279" t="s">
        <v>1167</v>
      </c>
      <c r="F141" s="279" t="s">
        <v>1113</v>
      </c>
      <c r="G141" s="277" t="s">
        <v>1114</v>
      </c>
      <c r="H141" s="277" t="s">
        <v>1115</v>
      </c>
      <c r="I141" s="287">
        <v>10.8</v>
      </c>
    </row>
    <row r="142" spans="1:9" x14ac:dyDescent="0.25">
      <c r="A142" s="277">
        <v>1021770</v>
      </c>
      <c r="B142" s="279" t="s">
        <v>1435</v>
      </c>
      <c r="C142" s="277" t="s">
        <v>1148</v>
      </c>
      <c r="D142" s="279" t="s">
        <v>1436</v>
      </c>
      <c r="E142" s="279" t="s">
        <v>1437</v>
      </c>
      <c r="F142" s="279" t="s">
        <v>1438</v>
      </c>
      <c r="G142" s="277" t="s">
        <v>1114</v>
      </c>
      <c r="H142" s="277" t="s">
        <v>1115</v>
      </c>
      <c r="I142" s="287">
        <v>25</v>
      </c>
    </row>
    <row r="143" spans="1:9" hidden="1" x14ac:dyDescent="0.25">
      <c r="A143" s="277" t="str">
        <f>"HEADER "&amp;B143</f>
        <v>HEADER NICARDIPINE/ CARDENE</v>
      </c>
      <c r="B143" s="278" t="s">
        <v>1439</v>
      </c>
      <c r="C143" s="279"/>
      <c r="D143" s="279"/>
      <c r="E143" s="279"/>
      <c r="F143" s="279"/>
      <c r="G143" s="277"/>
      <c r="H143" s="277"/>
      <c r="I143" s="286"/>
    </row>
    <row r="144" spans="1:9" x14ac:dyDescent="0.25">
      <c r="A144" s="277">
        <v>1013020</v>
      </c>
      <c r="B144" s="279" t="s">
        <v>1440</v>
      </c>
      <c r="C144" s="277" t="s">
        <v>1110</v>
      </c>
      <c r="D144" s="279" t="s">
        <v>1441</v>
      </c>
      <c r="E144" s="279" t="s">
        <v>1177</v>
      </c>
      <c r="F144" s="279" t="s">
        <v>1130</v>
      </c>
      <c r="G144" s="277" t="s">
        <v>1114</v>
      </c>
      <c r="H144" s="277" t="s">
        <v>1115</v>
      </c>
      <c r="I144" s="287">
        <v>13.5</v>
      </c>
    </row>
    <row r="145" spans="1:9" hidden="1" x14ac:dyDescent="0.25">
      <c r="A145" s="277" t="str">
        <f>"HEADER "&amp;B145</f>
        <v>HEADER NITROGLYCERIN</v>
      </c>
      <c r="B145" s="278" t="s">
        <v>1442</v>
      </c>
      <c r="C145" s="279"/>
      <c r="D145" s="279"/>
      <c r="E145" s="279"/>
      <c r="F145" s="279"/>
      <c r="G145" s="277"/>
      <c r="H145" s="277"/>
      <c r="I145" s="286"/>
    </row>
    <row r="146" spans="1:9" x14ac:dyDescent="0.25">
      <c r="A146" s="277">
        <v>1012240</v>
      </c>
      <c r="B146" s="279" t="s">
        <v>1443</v>
      </c>
      <c r="C146" s="277" t="s">
        <v>1110</v>
      </c>
      <c r="D146" s="279" t="s">
        <v>1444</v>
      </c>
      <c r="E146" s="279" t="s">
        <v>1181</v>
      </c>
      <c r="F146" s="279" t="s">
        <v>1130</v>
      </c>
      <c r="G146" s="277" t="s">
        <v>1114</v>
      </c>
      <c r="H146" s="277" t="s">
        <v>1115</v>
      </c>
      <c r="I146" s="287">
        <v>12.87</v>
      </c>
    </row>
    <row r="147" spans="1:9" x14ac:dyDescent="0.25">
      <c r="A147" s="277">
        <v>1024170</v>
      </c>
      <c r="B147" s="279" t="s">
        <v>1445</v>
      </c>
      <c r="C147" s="279" t="s">
        <v>1110</v>
      </c>
      <c r="D147" s="279" t="s">
        <v>1446</v>
      </c>
      <c r="E147" s="279" t="s">
        <v>1447</v>
      </c>
      <c r="F147" s="279" t="s">
        <v>1448</v>
      </c>
      <c r="G147" s="277" t="s">
        <v>1114</v>
      </c>
      <c r="H147" s="277" t="s">
        <v>1115</v>
      </c>
      <c r="I147" s="287">
        <v>75</v>
      </c>
    </row>
    <row r="148" spans="1:9" x14ac:dyDescent="0.25">
      <c r="A148" s="277">
        <v>1001140</v>
      </c>
      <c r="B148" s="279" t="s">
        <v>1449</v>
      </c>
      <c r="C148" s="277" t="s">
        <v>1110</v>
      </c>
      <c r="D148" s="279" t="s">
        <v>1450</v>
      </c>
      <c r="E148" s="279" t="s">
        <v>1451</v>
      </c>
      <c r="F148" s="279" t="s">
        <v>1452</v>
      </c>
      <c r="G148" s="277" t="s">
        <v>1114</v>
      </c>
      <c r="H148" s="277" t="s">
        <v>1115</v>
      </c>
      <c r="I148" s="287">
        <v>8.99</v>
      </c>
    </row>
    <row r="149" spans="1:9" x14ac:dyDescent="0.25">
      <c r="A149" s="277">
        <v>1024800</v>
      </c>
      <c r="B149" s="279" t="s">
        <v>1449</v>
      </c>
      <c r="C149" s="279" t="s">
        <v>1110</v>
      </c>
      <c r="D149" s="279" t="s">
        <v>1611</v>
      </c>
      <c r="E149" s="279" t="s">
        <v>1612</v>
      </c>
      <c r="F149" s="279" t="s">
        <v>1452</v>
      </c>
      <c r="G149" s="277" t="s">
        <v>1114</v>
      </c>
      <c r="H149" s="277" t="s">
        <v>1115</v>
      </c>
      <c r="I149" s="287">
        <v>1.2175</v>
      </c>
    </row>
    <row r="150" spans="1:9" hidden="1" x14ac:dyDescent="0.25">
      <c r="A150" s="277" t="str">
        <f>"HEADER "&amp;B150</f>
        <v>HEADER NOREPINEPHRINE / LEVOPHED</v>
      </c>
      <c r="B150" s="278" t="s">
        <v>1453</v>
      </c>
      <c r="C150" s="279"/>
      <c r="D150" s="279"/>
      <c r="E150" s="279"/>
      <c r="F150" s="279"/>
      <c r="G150" s="277"/>
      <c r="H150" s="277"/>
      <c r="I150" s="286"/>
    </row>
    <row r="151" spans="1:9" x14ac:dyDescent="0.25">
      <c r="A151" s="277">
        <v>1015820</v>
      </c>
      <c r="B151" s="279" t="s">
        <v>1454</v>
      </c>
      <c r="C151" s="277" t="s">
        <v>1110</v>
      </c>
      <c r="D151" s="279" t="s">
        <v>1455</v>
      </c>
      <c r="E151" s="279" t="s">
        <v>1167</v>
      </c>
      <c r="F151" s="279" t="s">
        <v>1118</v>
      </c>
      <c r="G151" s="277" t="s">
        <v>1114</v>
      </c>
      <c r="H151" s="277" t="s">
        <v>1115</v>
      </c>
      <c r="I151" s="287">
        <v>3.3</v>
      </c>
    </row>
    <row r="152" spans="1:9" hidden="1" x14ac:dyDescent="0.25">
      <c r="A152" s="277" t="str">
        <f>"HEADER "&amp;B152</f>
        <v>HEADER ONDANSETRON</v>
      </c>
      <c r="B152" s="278" t="s">
        <v>1456</v>
      </c>
      <c r="C152" s="279"/>
      <c r="D152" s="279"/>
      <c r="E152" s="279"/>
      <c r="F152" s="279"/>
      <c r="G152" s="277"/>
      <c r="H152" s="277"/>
      <c r="I152" s="286"/>
    </row>
    <row r="153" spans="1:9" x14ac:dyDescent="0.25">
      <c r="A153" s="277">
        <v>1014330</v>
      </c>
      <c r="B153" s="279" t="s">
        <v>1604</v>
      </c>
      <c r="C153" s="279" t="s">
        <v>1110</v>
      </c>
      <c r="D153" s="279" t="s">
        <v>1605</v>
      </c>
      <c r="E153" s="279" t="s">
        <v>1606</v>
      </c>
      <c r="F153" s="279" t="s">
        <v>1607</v>
      </c>
      <c r="G153" s="277" t="s">
        <v>1114</v>
      </c>
      <c r="H153" s="277" t="s">
        <v>1115</v>
      </c>
      <c r="I153" s="287">
        <v>0.19466666666666699</v>
      </c>
    </row>
    <row r="154" spans="1:9" x14ac:dyDescent="0.25">
      <c r="A154" s="277">
        <v>1000480</v>
      </c>
      <c r="B154" s="279" t="s">
        <v>1457</v>
      </c>
      <c r="C154" s="277" t="s">
        <v>1110</v>
      </c>
      <c r="D154" s="279" t="s">
        <v>1458</v>
      </c>
      <c r="E154" s="279" t="s">
        <v>1304</v>
      </c>
      <c r="F154" s="279" t="s">
        <v>1113</v>
      </c>
      <c r="G154" s="277" t="s">
        <v>1114</v>
      </c>
      <c r="H154" s="277" t="s">
        <v>1115</v>
      </c>
      <c r="I154" s="287">
        <v>0.32079999999999997</v>
      </c>
    </row>
    <row r="155" spans="1:9" hidden="1" x14ac:dyDescent="0.25">
      <c r="A155" s="277" t="str">
        <f>"HEADER "&amp;B155</f>
        <v>HEADER PHENYLEPHRINE</v>
      </c>
      <c r="B155" s="278" t="s">
        <v>1459</v>
      </c>
      <c r="C155" s="279"/>
      <c r="D155" s="279"/>
      <c r="E155" s="279"/>
      <c r="F155" s="279"/>
      <c r="G155" s="277"/>
      <c r="H155" s="277"/>
      <c r="I155" s="286"/>
    </row>
    <row r="156" spans="1:9" x14ac:dyDescent="0.25">
      <c r="A156" s="277">
        <v>1000520</v>
      </c>
      <c r="B156" s="279" t="s">
        <v>1460</v>
      </c>
      <c r="C156" s="277" t="s">
        <v>1110</v>
      </c>
      <c r="D156" s="279" t="s">
        <v>1461</v>
      </c>
      <c r="E156" s="279" t="s">
        <v>1204</v>
      </c>
      <c r="F156" s="279" t="s">
        <v>1164</v>
      </c>
      <c r="G156" s="277" t="s">
        <v>1114</v>
      </c>
      <c r="H156" s="277" t="s">
        <v>1115</v>
      </c>
      <c r="I156" s="287">
        <v>0.95</v>
      </c>
    </row>
    <row r="157" spans="1:9" hidden="1" x14ac:dyDescent="0.25">
      <c r="A157" s="277" t="str">
        <f>"HEADER "&amp;B157</f>
        <v>HEADER PHENYTOIN/DILANTIN</v>
      </c>
      <c r="B157" s="278" t="s">
        <v>1462</v>
      </c>
      <c r="C157" s="279"/>
      <c r="D157" s="279"/>
      <c r="E157" s="279"/>
      <c r="F157" s="279"/>
      <c r="G157" s="277"/>
      <c r="H157" s="277"/>
      <c r="I157" s="286"/>
    </row>
    <row r="158" spans="1:9" x14ac:dyDescent="0.25">
      <c r="A158" s="277">
        <v>1000540</v>
      </c>
      <c r="B158" s="279" t="s">
        <v>1463</v>
      </c>
      <c r="C158" s="277" t="s">
        <v>1110</v>
      </c>
      <c r="D158" s="279" t="s">
        <v>1464</v>
      </c>
      <c r="E158" s="279" t="s">
        <v>1137</v>
      </c>
      <c r="F158" s="279" t="s">
        <v>1113</v>
      </c>
      <c r="G158" s="277" t="s">
        <v>1114</v>
      </c>
      <c r="H158" s="277" t="s">
        <v>1115</v>
      </c>
      <c r="I158" s="287">
        <v>1.2504</v>
      </c>
    </row>
    <row r="159" spans="1:9" x14ac:dyDescent="0.25">
      <c r="A159" s="277">
        <v>1011810</v>
      </c>
      <c r="B159" s="279" t="s">
        <v>1465</v>
      </c>
      <c r="C159" s="277" t="s">
        <v>1110</v>
      </c>
      <c r="D159" s="279" t="s">
        <v>1466</v>
      </c>
      <c r="E159" s="279" t="s">
        <v>1467</v>
      </c>
      <c r="F159" s="279" t="s">
        <v>1130</v>
      </c>
      <c r="G159" s="277" t="s">
        <v>1114</v>
      </c>
      <c r="H159" s="283" t="s">
        <v>1283</v>
      </c>
      <c r="I159" s="287">
        <v>3.59</v>
      </c>
    </row>
    <row r="160" spans="1:9" hidden="1" x14ac:dyDescent="0.25">
      <c r="A160" s="277" t="str">
        <f>"HEADER "&amp;B160</f>
        <v>HEADER PROCAINAMIDE</v>
      </c>
      <c r="B160" s="278" t="s">
        <v>1468</v>
      </c>
      <c r="C160" s="279"/>
      <c r="D160" s="279"/>
      <c r="E160" s="279"/>
      <c r="F160" s="279"/>
      <c r="G160" s="277"/>
      <c r="H160" s="277"/>
      <c r="I160" s="286"/>
    </row>
    <row r="161" spans="1:9" x14ac:dyDescent="0.25">
      <c r="A161" s="277">
        <v>1024020</v>
      </c>
      <c r="B161" s="279" t="s">
        <v>1469</v>
      </c>
      <c r="C161" s="279" t="s">
        <v>1110</v>
      </c>
      <c r="D161" s="279" t="s">
        <v>1470</v>
      </c>
      <c r="E161" s="279" t="s">
        <v>1192</v>
      </c>
      <c r="F161" s="279" t="s">
        <v>1130</v>
      </c>
      <c r="G161" s="277" t="s">
        <v>1114</v>
      </c>
      <c r="H161" s="277" t="s">
        <v>1115</v>
      </c>
      <c r="I161" s="287">
        <v>85</v>
      </c>
    </row>
    <row r="162" spans="1:9" hidden="1" x14ac:dyDescent="0.25">
      <c r="A162" s="277" t="str">
        <f>"HEADER "&amp;B162</f>
        <v>HEADER PROMETHAZINE/PROMETHEGAN/PHENERGAN</v>
      </c>
      <c r="B162" s="278" t="s">
        <v>1471</v>
      </c>
      <c r="C162" s="279"/>
      <c r="D162" s="279"/>
      <c r="E162" s="279"/>
      <c r="F162" s="279"/>
      <c r="G162" s="277"/>
      <c r="H162" s="277"/>
      <c r="I162" s="286"/>
    </row>
    <row r="163" spans="1:9" x14ac:dyDescent="0.25">
      <c r="A163" s="277">
        <v>1000510</v>
      </c>
      <c r="B163" s="279" t="s">
        <v>1472</v>
      </c>
      <c r="C163" s="277" t="s">
        <v>1110</v>
      </c>
      <c r="D163" s="279" t="s">
        <v>1473</v>
      </c>
      <c r="E163" s="279" t="s">
        <v>1137</v>
      </c>
      <c r="F163" s="279" t="s">
        <v>1164</v>
      </c>
      <c r="G163" s="277" t="s">
        <v>1114</v>
      </c>
      <c r="H163" s="277" t="s">
        <v>1115</v>
      </c>
      <c r="I163" s="287">
        <v>2.0304000000000002</v>
      </c>
    </row>
    <row r="164" spans="1:9" x14ac:dyDescent="0.25">
      <c r="A164" s="277">
        <v>1000500</v>
      </c>
      <c r="B164" s="279" t="s">
        <v>1474</v>
      </c>
      <c r="C164" s="277" t="s">
        <v>1110</v>
      </c>
      <c r="D164" s="279" t="s">
        <v>1475</v>
      </c>
      <c r="E164" s="279" t="s">
        <v>1129</v>
      </c>
      <c r="F164" s="279" t="s">
        <v>1164</v>
      </c>
      <c r="G164" s="277" t="s">
        <v>1114</v>
      </c>
      <c r="H164" s="277" t="s">
        <v>1115</v>
      </c>
      <c r="I164" s="287">
        <v>1.66</v>
      </c>
    </row>
    <row r="165" spans="1:9" hidden="1" x14ac:dyDescent="0.25">
      <c r="A165" s="277" t="str">
        <f>"HEADER "&amp;B165</f>
        <v>HEADER PROPOFOL/ DIPRIVAN</v>
      </c>
      <c r="B165" s="278" t="s">
        <v>1476</v>
      </c>
      <c r="C165" s="279"/>
      <c r="D165" s="279"/>
      <c r="E165" s="279"/>
      <c r="F165" s="279"/>
      <c r="G165" s="277"/>
      <c r="H165" s="277"/>
      <c r="I165" s="286"/>
    </row>
    <row r="166" spans="1:9" x14ac:dyDescent="0.25">
      <c r="A166" s="277">
        <v>1012910</v>
      </c>
      <c r="B166" s="279" t="s">
        <v>1477</v>
      </c>
      <c r="C166" s="277" t="s">
        <v>1148</v>
      </c>
      <c r="D166" s="279" t="s">
        <v>1478</v>
      </c>
      <c r="E166" s="279" t="s">
        <v>1204</v>
      </c>
      <c r="F166" s="279" t="s">
        <v>1178</v>
      </c>
      <c r="G166" s="277" t="s">
        <v>1114</v>
      </c>
      <c r="H166" s="283" t="s">
        <v>1283</v>
      </c>
      <c r="I166" s="287">
        <v>4.8250000000000002</v>
      </c>
    </row>
    <row r="167" spans="1:9" x14ac:dyDescent="0.25">
      <c r="A167" s="277">
        <v>1012900</v>
      </c>
      <c r="B167" s="279" t="s">
        <v>1479</v>
      </c>
      <c r="C167" s="277" t="s">
        <v>1148</v>
      </c>
      <c r="D167" s="279" t="s">
        <v>1480</v>
      </c>
      <c r="E167" s="279" t="s">
        <v>1204</v>
      </c>
      <c r="F167" s="279" t="s">
        <v>1481</v>
      </c>
      <c r="G167" s="277" t="s">
        <v>1114</v>
      </c>
      <c r="H167" s="283" t="s">
        <v>1283</v>
      </c>
      <c r="I167" s="287">
        <v>9.65</v>
      </c>
    </row>
    <row r="168" spans="1:9" hidden="1" x14ac:dyDescent="0.25">
      <c r="A168" s="277" t="str">
        <f>"HEADER "&amp;B168</f>
        <v>HEADER SODIUM BICARBONATE</v>
      </c>
      <c r="B168" s="278" t="s">
        <v>1482</v>
      </c>
      <c r="C168" s="279"/>
      <c r="D168" s="279"/>
      <c r="E168" s="279"/>
      <c r="F168" s="279"/>
      <c r="G168" s="277"/>
      <c r="H168" s="277"/>
      <c r="I168" s="286"/>
    </row>
    <row r="169" spans="1:9" x14ac:dyDescent="0.25">
      <c r="A169" s="277">
        <v>1000590</v>
      </c>
      <c r="B169" s="279" t="s">
        <v>1483</v>
      </c>
      <c r="C169" s="277" t="s">
        <v>1110</v>
      </c>
      <c r="D169" s="279" t="s">
        <v>1484</v>
      </c>
      <c r="E169" s="279" t="s">
        <v>1485</v>
      </c>
      <c r="F169" s="279" t="s">
        <v>1178</v>
      </c>
      <c r="G169" s="277" t="s">
        <v>1114</v>
      </c>
      <c r="H169" s="277" t="s">
        <v>1115</v>
      </c>
      <c r="I169" s="287">
        <v>9.8336000000000006</v>
      </c>
    </row>
    <row r="170" spans="1:9" x14ac:dyDescent="0.25">
      <c r="A170" s="277">
        <v>1009340</v>
      </c>
      <c r="B170" s="279" t="s">
        <v>1486</v>
      </c>
      <c r="C170" s="277" t="s">
        <v>1110</v>
      </c>
      <c r="D170" s="279" t="s">
        <v>1487</v>
      </c>
      <c r="E170" s="279" t="s">
        <v>1488</v>
      </c>
      <c r="F170" s="279" t="s">
        <v>1130</v>
      </c>
      <c r="G170" s="277" t="s">
        <v>1114</v>
      </c>
      <c r="H170" s="277" t="s">
        <v>1115</v>
      </c>
      <c r="I170" s="287">
        <v>20.079999999999998</v>
      </c>
    </row>
    <row r="171" spans="1:9" x14ac:dyDescent="0.25">
      <c r="A171" s="277">
        <v>1012410</v>
      </c>
      <c r="B171" s="279" t="s">
        <v>1489</v>
      </c>
      <c r="C171" s="277" t="s">
        <v>1110</v>
      </c>
      <c r="D171" s="279" t="s">
        <v>1490</v>
      </c>
      <c r="E171" s="279" t="s">
        <v>1491</v>
      </c>
      <c r="F171" s="279" t="s">
        <v>1182</v>
      </c>
      <c r="G171" s="277" t="s">
        <v>1114</v>
      </c>
      <c r="H171" s="277" t="s">
        <v>1115</v>
      </c>
      <c r="I171" s="287">
        <v>21.64</v>
      </c>
    </row>
    <row r="172" spans="1:9" hidden="1" x14ac:dyDescent="0.25">
      <c r="A172" s="277" t="str">
        <f>"HEADER "&amp;B172</f>
        <v>HEADER SODIUM CHLORIDE</v>
      </c>
      <c r="B172" s="278" t="s">
        <v>1492</v>
      </c>
      <c r="C172" s="279"/>
      <c r="D172" s="279"/>
      <c r="E172" s="279"/>
      <c r="F172" s="279"/>
      <c r="G172" s="277"/>
      <c r="H172" s="277"/>
      <c r="I172" s="286"/>
    </row>
    <row r="173" spans="1:9" x14ac:dyDescent="0.25">
      <c r="A173" s="277">
        <v>1009330</v>
      </c>
      <c r="B173" s="279" t="s">
        <v>1493</v>
      </c>
      <c r="C173" s="279" t="s">
        <v>1110</v>
      </c>
      <c r="D173" s="279" t="s">
        <v>1494</v>
      </c>
      <c r="E173" s="279">
        <v>8.9999999999999993E-3</v>
      </c>
      <c r="F173" s="279" t="s">
        <v>1130</v>
      </c>
      <c r="G173" s="277" t="s">
        <v>1114</v>
      </c>
      <c r="H173" s="277" t="s">
        <v>1115</v>
      </c>
      <c r="I173" s="287">
        <v>0.47570000000000001</v>
      </c>
    </row>
    <row r="174" spans="1:9" x14ac:dyDescent="0.25">
      <c r="A174" s="277">
        <v>1014200</v>
      </c>
      <c r="B174" s="279" t="s">
        <v>1495</v>
      </c>
      <c r="C174" s="279" t="s">
        <v>1110</v>
      </c>
      <c r="D174" s="279" t="s">
        <v>1496</v>
      </c>
      <c r="E174" s="279" t="s">
        <v>1497</v>
      </c>
      <c r="F174" s="279" t="s">
        <v>1481</v>
      </c>
      <c r="G174" s="277" t="s">
        <v>1114</v>
      </c>
      <c r="H174" s="277" t="s">
        <v>1115</v>
      </c>
      <c r="I174" s="287">
        <v>2.31</v>
      </c>
    </row>
    <row r="175" spans="1:9" x14ac:dyDescent="0.25">
      <c r="A175" s="277">
        <v>1013880</v>
      </c>
      <c r="B175" s="279" t="s">
        <v>1498</v>
      </c>
      <c r="C175" s="279" t="s">
        <v>1110</v>
      </c>
      <c r="D175" s="279" t="s">
        <v>1499</v>
      </c>
      <c r="E175" s="279">
        <v>8.9999999999999993E-3</v>
      </c>
      <c r="F175" s="279" t="s">
        <v>1224</v>
      </c>
      <c r="G175" s="277" t="s">
        <v>1114</v>
      </c>
      <c r="H175" s="277" t="s">
        <v>1115</v>
      </c>
      <c r="I175" s="287">
        <v>2.75</v>
      </c>
    </row>
    <row r="176" spans="1:9" x14ac:dyDescent="0.25">
      <c r="A176" s="277">
        <v>1014510</v>
      </c>
      <c r="B176" s="279" t="s">
        <v>1500</v>
      </c>
      <c r="C176" s="279" t="s">
        <v>1110</v>
      </c>
      <c r="D176" s="279" t="s">
        <v>1501</v>
      </c>
      <c r="E176" s="279" t="s">
        <v>1502</v>
      </c>
      <c r="F176" s="279" t="s">
        <v>1269</v>
      </c>
      <c r="G176" s="277" t="s">
        <v>1114</v>
      </c>
      <c r="H176" s="277" t="s">
        <v>1115</v>
      </c>
      <c r="I176" s="287">
        <v>4.67</v>
      </c>
    </row>
    <row r="177" spans="1:9" x14ac:dyDescent="0.25">
      <c r="A177" s="277">
        <v>1013890</v>
      </c>
      <c r="B177" s="279" t="s">
        <v>1503</v>
      </c>
      <c r="C177" s="279" t="s">
        <v>1110</v>
      </c>
      <c r="D177" s="279" t="s">
        <v>1504</v>
      </c>
      <c r="E177" s="279">
        <v>8.9999999999999993E-3</v>
      </c>
      <c r="F177" s="279" t="s">
        <v>1377</v>
      </c>
      <c r="G177" s="277" t="s">
        <v>1114</v>
      </c>
      <c r="H177" s="277" t="s">
        <v>1115</v>
      </c>
      <c r="I177" s="287">
        <v>3.25</v>
      </c>
    </row>
    <row r="178" spans="1:9" hidden="1" x14ac:dyDescent="0.25">
      <c r="A178" s="277" t="str">
        <f>"HEADER "&amp;B178</f>
        <v>HEADER SUCCINYLCHOLINE/RECURONIUM/VECURONIUM</v>
      </c>
      <c r="B178" s="278" t="s">
        <v>1505</v>
      </c>
      <c r="C178" s="279"/>
      <c r="D178" s="279"/>
      <c r="E178" s="279"/>
      <c r="F178" s="279"/>
      <c r="G178" s="277"/>
      <c r="H178" s="277"/>
      <c r="I178" s="286"/>
    </row>
    <row r="179" spans="1:9" x14ac:dyDescent="0.25">
      <c r="A179" s="277">
        <v>1015360</v>
      </c>
      <c r="B179" s="279" t="s">
        <v>1506</v>
      </c>
      <c r="C179" s="279" t="s">
        <v>1148</v>
      </c>
      <c r="D179" s="279" t="s">
        <v>1507</v>
      </c>
      <c r="E179" s="279" t="s">
        <v>1345</v>
      </c>
      <c r="F179" s="279" t="s">
        <v>1130</v>
      </c>
      <c r="G179" s="280" t="s">
        <v>1233</v>
      </c>
      <c r="H179" s="283" t="s">
        <v>1283</v>
      </c>
      <c r="I179" s="287">
        <v>3.5731999999999999</v>
      </c>
    </row>
    <row r="180" spans="1:9" x14ac:dyDescent="0.25">
      <c r="A180" s="277">
        <v>1016210</v>
      </c>
      <c r="B180" s="279" t="s">
        <v>1508</v>
      </c>
      <c r="C180" s="279" t="s">
        <v>1148</v>
      </c>
      <c r="D180" s="279" t="s">
        <v>1509</v>
      </c>
      <c r="E180" s="279" t="s">
        <v>1204</v>
      </c>
      <c r="F180" s="279" t="s">
        <v>1211</v>
      </c>
      <c r="G180" s="280" t="s">
        <v>1233</v>
      </c>
      <c r="H180" s="283" t="s">
        <v>1283</v>
      </c>
      <c r="I180" s="287">
        <v>1.6</v>
      </c>
    </row>
    <row r="181" spans="1:9" x14ac:dyDescent="0.25">
      <c r="A181" s="277">
        <v>1016200</v>
      </c>
      <c r="B181" s="279" t="s">
        <v>1510</v>
      </c>
      <c r="C181" s="279" t="s">
        <v>1148</v>
      </c>
      <c r="D181" s="279" t="s">
        <v>1511</v>
      </c>
      <c r="E181" s="279" t="s">
        <v>1204</v>
      </c>
      <c r="F181" s="279" t="s">
        <v>1130</v>
      </c>
      <c r="G181" s="280" t="s">
        <v>1233</v>
      </c>
      <c r="H181" s="283" t="s">
        <v>1283</v>
      </c>
      <c r="I181" s="287">
        <v>3.3</v>
      </c>
    </row>
    <row r="182" spans="1:9" x14ac:dyDescent="0.25">
      <c r="A182" s="277">
        <v>1012950</v>
      </c>
      <c r="B182" s="279" t="s">
        <v>1512</v>
      </c>
      <c r="C182" s="279" t="s">
        <v>1148</v>
      </c>
      <c r="D182" s="279" t="s">
        <v>1513</v>
      </c>
      <c r="E182" s="279" t="s">
        <v>1167</v>
      </c>
      <c r="F182" s="279" t="s">
        <v>1130</v>
      </c>
      <c r="G182" s="277" t="s">
        <v>1114</v>
      </c>
      <c r="H182" s="283" t="s">
        <v>1283</v>
      </c>
      <c r="I182" s="287">
        <v>7.3390000000000004</v>
      </c>
    </row>
    <row r="183" spans="1:9" x14ac:dyDescent="0.25">
      <c r="A183" s="277">
        <v>1016220</v>
      </c>
      <c r="B183" s="279" t="s">
        <v>1514</v>
      </c>
      <c r="C183" s="279" t="s">
        <v>1148</v>
      </c>
      <c r="D183" s="279" t="s">
        <v>1515</v>
      </c>
      <c r="E183" s="279" t="s">
        <v>1167</v>
      </c>
      <c r="F183" s="279" t="s">
        <v>1130</v>
      </c>
      <c r="G183" s="277" t="s">
        <v>1114</v>
      </c>
      <c r="H183" s="283" t="s">
        <v>1283</v>
      </c>
      <c r="I183" s="287">
        <v>2.4900000000000002</v>
      </c>
    </row>
    <row r="184" spans="1:9" hidden="1" x14ac:dyDescent="0.25">
      <c r="A184" s="277" t="str">
        <f>"HEADER "&amp;B184</f>
        <v>HEADER TRANEXAMIC ACID</v>
      </c>
      <c r="B184" s="278" t="s">
        <v>1516</v>
      </c>
      <c r="C184" s="279"/>
      <c r="D184" s="279"/>
      <c r="E184" s="279"/>
      <c r="F184" s="279"/>
      <c r="G184" s="277"/>
      <c r="H184" s="277"/>
      <c r="I184" s="286"/>
    </row>
    <row r="185" spans="1:9" x14ac:dyDescent="0.25">
      <c r="A185" s="277">
        <v>1015840</v>
      </c>
      <c r="B185" s="279" t="s">
        <v>1517</v>
      </c>
      <c r="C185" s="279" t="s">
        <v>1110</v>
      </c>
      <c r="D185" s="279" t="s">
        <v>1518</v>
      </c>
      <c r="E185" s="279" t="s">
        <v>1192</v>
      </c>
      <c r="F185" s="279" t="s">
        <v>1130</v>
      </c>
      <c r="G185" s="277" t="s">
        <v>1114</v>
      </c>
      <c r="H185" s="277" t="s">
        <v>1115</v>
      </c>
      <c r="I185" s="287">
        <v>1.7050000000000001</v>
      </c>
    </row>
    <row r="186" spans="1:9" hidden="1" x14ac:dyDescent="0.25">
      <c r="A186" s="277" t="str">
        <f>"HEADER "&amp;B186</f>
        <v>HEADER VASOPRESSIN</v>
      </c>
      <c r="B186" s="278" t="s">
        <v>1519</v>
      </c>
      <c r="C186" s="279"/>
      <c r="D186" s="279"/>
      <c r="E186" s="279"/>
      <c r="F186" s="279"/>
      <c r="G186" s="277"/>
      <c r="H186" s="277"/>
      <c r="I186" s="286"/>
    </row>
    <row r="187" spans="1:9" x14ac:dyDescent="0.25">
      <c r="A187" s="277">
        <v>1009720</v>
      </c>
      <c r="B187" s="279" t="s">
        <v>1520</v>
      </c>
      <c r="C187" s="279" t="s">
        <v>1110</v>
      </c>
      <c r="D187" s="279" t="s">
        <v>1521</v>
      </c>
      <c r="E187" s="279" t="s">
        <v>1522</v>
      </c>
      <c r="F187" s="279" t="s">
        <v>1164</v>
      </c>
      <c r="G187" s="280" t="s">
        <v>1233</v>
      </c>
      <c r="H187" s="277" t="s">
        <v>1115</v>
      </c>
      <c r="I187" s="287">
        <v>9.92</v>
      </c>
    </row>
    <row r="188" spans="1:9" hidden="1" x14ac:dyDescent="0.25">
      <c r="A188" s="277" t="str">
        <f>"HEADER "&amp;B188</f>
        <v>HEADER VERAPAMIL</v>
      </c>
      <c r="B188" s="278" t="s">
        <v>1523</v>
      </c>
      <c r="C188" s="279"/>
      <c r="D188" s="279"/>
      <c r="E188" s="279"/>
      <c r="F188" s="279"/>
      <c r="G188" s="277"/>
      <c r="H188" s="277"/>
      <c r="I188" s="286"/>
    </row>
    <row r="189" spans="1:9" x14ac:dyDescent="0.25">
      <c r="A189" s="277">
        <v>1016240</v>
      </c>
      <c r="B189" s="279" t="s">
        <v>1524</v>
      </c>
      <c r="C189" s="279" t="s">
        <v>1110</v>
      </c>
      <c r="D189" s="279" t="s">
        <v>1525</v>
      </c>
      <c r="E189" s="279" t="s">
        <v>1177</v>
      </c>
      <c r="F189" s="279" t="s">
        <v>1113</v>
      </c>
      <c r="G189" s="277" t="s">
        <v>1114</v>
      </c>
      <c r="H189" s="277" t="s">
        <v>1115</v>
      </c>
      <c r="I189" s="287">
        <v>3.99</v>
      </c>
    </row>
    <row r="190" spans="1:9" x14ac:dyDescent="0.25">
      <c r="A190" s="277">
        <v>1016230</v>
      </c>
      <c r="B190" s="279" t="s">
        <v>1526</v>
      </c>
      <c r="C190" s="279" t="s">
        <v>1110</v>
      </c>
      <c r="D190" s="279" t="s">
        <v>1527</v>
      </c>
      <c r="E190" s="279" t="s">
        <v>1177</v>
      </c>
      <c r="F190" s="279" t="s">
        <v>1118</v>
      </c>
      <c r="G190" s="277" t="s">
        <v>1114</v>
      </c>
      <c r="H190" s="277" t="s">
        <v>1115</v>
      </c>
      <c r="I190" s="287">
        <v>4.8</v>
      </c>
    </row>
    <row r="191" spans="1:9" x14ac:dyDescent="0.25">
      <c r="A191" s="277">
        <v>1000720</v>
      </c>
      <c r="B191" s="279" t="s">
        <v>1528</v>
      </c>
      <c r="C191" s="279" t="s">
        <v>1110</v>
      </c>
      <c r="D191" s="279" t="s">
        <v>1529</v>
      </c>
      <c r="E191" s="279" t="s">
        <v>1530</v>
      </c>
      <c r="F191" s="279" t="s">
        <v>1118</v>
      </c>
      <c r="G191" s="277" t="s">
        <v>1114</v>
      </c>
      <c r="H191" s="277" t="s">
        <v>1115</v>
      </c>
      <c r="I191" s="287">
        <v>108.151</v>
      </c>
    </row>
    <row r="192" spans="1:9" hidden="1" x14ac:dyDescent="0.25">
      <c r="A192" s="277" t="str">
        <f>"HEADER "&amp;B192</f>
        <v>HEADER WATER/STERILE/BACTERIOSTATIC</v>
      </c>
      <c r="B192" s="278" t="s">
        <v>1531</v>
      </c>
      <c r="C192" s="279"/>
      <c r="D192" s="279"/>
      <c r="E192" s="279"/>
      <c r="F192" s="279"/>
      <c r="G192" s="277"/>
      <c r="H192" s="277"/>
      <c r="I192" s="286"/>
    </row>
    <row r="193" spans="1:9" x14ac:dyDescent="0.25">
      <c r="A193" s="277">
        <v>1012940</v>
      </c>
      <c r="B193" s="279" t="s">
        <v>1532</v>
      </c>
      <c r="C193" s="279" t="s">
        <v>1110</v>
      </c>
      <c r="D193" s="279" t="s">
        <v>1533</v>
      </c>
      <c r="E193" s="279"/>
      <c r="F193" s="279" t="s">
        <v>1133</v>
      </c>
      <c r="G193" s="277" t="s">
        <v>1114</v>
      </c>
      <c r="H193" s="277" t="s">
        <v>1115</v>
      </c>
      <c r="I193" s="287">
        <v>5.93</v>
      </c>
    </row>
    <row r="194" spans="1:9" x14ac:dyDescent="0.25">
      <c r="A194" s="277">
        <v>1000680</v>
      </c>
      <c r="B194" s="279" t="s">
        <v>1534</v>
      </c>
      <c r="C194" s="279" t="s">
        <v>1110</v>
      </c>
      <c r="D194" s="279" t="s">
        <v>1535</v>
      </c>
      <c r="E194" s="279"/>
      <c r="F194" s="279" t="s">
        <v>1178</v>
      </c>
      <c r="G194" s="277" t="s">
        <v>1114</v>
      </c>
      <c r="H194" s="277" t="s">
        <v>1115</v>
      </c>
      <c r="I194" s="287">
        <v>8.64</v>
      </c>
    </row>
    <row r="195" spans="1:9" x14ac:dyDescent="0.25">
      <c r="A195" s="277">
        <v>1000690</v>
      </c>
      <c r="B195" s="279" t="s">
        <v>1536</v>
      </c>
      <c r="C195" s="279" t="s">
        <v>1110</v>
      </c>
      <c r="D195" s="279" t="s">
        <v>1537</v>
      </c>
      <c r="E195" s="279"/>
      <c r="F195" s="279" t="s">
        <v>1481</v>
      </c>
      <c r="G195" s="277" t="s">
        <v>1114</v>
      </c>
      <c r="H195" s="277" t="s">
        <v>1115</v>
      </c>
      <c r="I195" s="287">
        <v>10.032400000000001</v>
      </c>
    </row>
    <row r="196" spans="1:9" x14ac:dyDescent="0.25">
      <c r="A196" s="275"/>
      <c r="B196" s="276"/>
      <c r="C196" s="276"/>
      <c r="D196" s="276"/>
      <c r="E196" s="276"/>
      <c r="F196" s="276"/>
      <c r="G196" s="275"/>
      <c r="H196" s="275"/>
      <c r="I196" s="285"/>
    </row>
    <row r="197" spans="1:9" x14ac:dyDescent="0.25">
      <c r="A197" s="275"/>
      <c r="B197" s="276"/>
      <c r="C197" s="276"/>
      <c r="D197" s="276"/>
      <c r="E197" s="276"/>
      <c r="F197" s="276"/>
      <c r="G197" s="275"/>
      <c r="H197" s="275"/>
      <c r="I197" s="285"/>
    </row>
    <row r="198" spans="1:9" x14ac:dyDescent="0.25">
      <c r="A198" s="275"/>
      <c r="B198" s="276"/>
      <c r="C198" s="276"/>
      <c r="D198" s="276"/>
      <c r="E198" s="276"/>
      <c r="F198" s="276"/>
      <c r="G198" s="275"/>
      <c r="H198" s="275"/>
      <c r="I198" s="285"/>
    </row>
    <row r="199" spans="1:9" x14ac:dyDescent="0.25">
      <c r="A199" s="273"/>
      <c r="B199" s="274"/>
      <c r="C199" s="274"/>
      <c r="D199" s="274"/>
      <c r="E199" s="274"/>
      <c r="F199" s="274"/>
      <c r="G199" s="273"/>
      <c r="H199" s="273"/>
      <c r="I199" s="285"/>
    </row>
    <row r="200" spans="1:9" x14ac:dyDescent="0.25">
      <c r="A200" s="273"/>
      <c r="B200" s="274"/>
      <c r="C200" s="274"/>
      <c r="D200" s="274"/>
      <c r="E200" s="274"/>
      <c r="F200" s="274"/>
      <c r="G200" s="273"/>
      <c r="H200" s="273"/>
      <c r="I200" s="285"/>
    </row>
    <row r="201" spans="1:9" x14ac:dyDescent="0.25">
      <c r="A201" s="273"/>
      <c r="B201" s="274"/>
      <c r="C201" s="274"/>
      <c r="D201" s="274"/>
      <c r="E201" s="274"/>
      <c r="F201" s="274"/>
      <c r="G201" s="273"/>
      <c r="H201" s="273"/>
      <c r="I201" s="285"/>
    </row>
  </sheetData>
  <autoFilter ref="A1:I200" xr:uid="{72B9F4E3-46BF-40ED-AE0A-DB7A9FD2793D}">
    <filterColumn colId="0">
      <customFilters>
        <customFilter operator="notEqual" val="*header*"/>
      </customFilters>
    </filterColumn>
  </autoFilter>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D031-FE1E-4963-A42F-148DDA6ED79F}">
  <sheetPr codeName="Sheet10">
    <pageSetUpPr autoPageBreaks="0"/>
  </sheetPr>
  <dimension ref="A1:C1003"/>
  <sheetViews>
    <sheetView workbookViewId="0">
      <selection activeCell="F34" sqref="F34:F169"/>
    </sheetView>
  </sheetViews>
  <sheetFormatPr defaultRowHeight="15" x14ac:dyDescent="0.25"/>
  <cols>
    <col min="1" max="1" width="19.85546875" style="83" customWidth="1"/>
    <col min="2" max="2" width="107" bestFit="1" customWidth="1"/>
  </cols>
  <sheetData>
    <row r="1" spans="1:3" s="261" customFormat="1" x14ac:dyDescent="0.25">
      <c r="A1" s="261" t="s">
        <v>78</v>
      </c>
      <c r="B1" s="261" t="s">
        <v>77</v>
      </c>
      <c r="C1" s="261" t="s">
        <v>76</v>
      </c>
    </row>
    <row r="2" spans="1:3" s="261" customFormat="1" x14ac:dyDescent="0.25">
      <c r="A2" s="261">
        <v>1000050</v>
      </c>
      <c r="B2" s="261" t="s">
        <v>179</v>
      </c>
      <c r="C2" s="261">
        <v>49.95</v>
      </c>
    </row>
    <row r="3" spans="1:3" s="261" customFormat="1" x14ac:dyDescent="0.25">
      <c r="A3" s="261">
        <v>1000060</v>
      </c>
      <c r="B3" s="261" t="s">
        <v>180</v>
      </c>
      <c r="C3" s="261">
        <v>19.45</v>
      </c>
    </row>
    <row r="4" spans="1:3" s="261" customFormat="1" x14ac:dyDescent="0.25">
      <c r="A4" s="261">
        <v>1000090</v>
      </c>
      <c r="B4" s="261" t="s">
        <v>181</v>
      </c>
      <c r="C4" s="261">
        <v>45.95</v>
      </c>
    </row>
    <row r="5" spans="1:3" s="261" customFormat="1" x14ac:dyDescent="0.25">
      <c r="A5" s="261">
        <v>1000140</v>
      </c>
      <c r="B5" s="261" t="s">
        <v>182</v>
      </c>
      <c r="C5" s="261">
        <v>55.95</v>
      </c>
    </row>
    <row r="6" spans="1:3" s="261" customFormat="1" x14ac:dyDescent="0.25">
      <c r="A6" s="261">
        <v>1000160</v>
      </c>
      <c r="B6" s="261" t="s">
        <v>183</v>
      </c>
      <c r="C6" s="261">
        <v>13.95</v>
      </c>
    </row>
    <row r="7" spans="1:3" s="261" customFormat="1" x14ac:dyDescent="0.25">
      <c r="A7" s="261">
        <v>1000170</v>
      </c>
      <c r="B7" s="261" t="s">
        <v>184</v>
      </c>
      <c r="C7" s="261">
        <v>55.95</v>
      </c>
    </row>
    <row r="8" spans="1:3" s="261" customFormat="1" x14ac:dyDescent="0.25">
      <c r="A8" s="261">
        <v>1000180</v>
      </c>
      <c r="B8" s="261" t="s">
        <v>185</v>
      </c>
      <c r="C8" s="261">
        <v>17.600000000000001</v>
      </c>
    </row>
    <row r="9" spans="1:3" s="261" customFormat="1" x14ac:dyDescent="0.25">
      <c r="A9" s="261">
        <v>1000200</v>
      </c>
      <c r="B9" s="261" t="s">
        <v>186</v>
      </c>
      <c r="C9" s="261">
        <v>21.95</v>
      </c>
    </row>
    <row r="10" spans="1:3" s="261" customFormat="1" x14ac:dyDescent="0.25">
      <c r="A10" s="261">
        <v>1000210</v>
      </c>
      <c r="B10" s="261" t="s">
        <v>187</v>
      </c>
      <c r="C10" s="261">
        <v>35.090000000000003</v>
      </c>
    </row>
    <row r="11" spans="1:3" s="261" customFormat="1" x14ac:dyDescent="0.25">
      <c r="A11" s="261">
        <v>1000280</v>
      </c>
      <c r="B11" s="261" t="s">
        <v>188</v>
      </c>
      <c r="C11" s="261">
        <v>849.95</v>
      </c>
    </row>
    <row r="12" spans="1:3" s="261" customFormat="1" x14ac:dyDescent="0.25">
      <c r="A12" s="261">
        <v>1000290</v>
      </c>
      <c r="B12" s="261" t="s">
        <v>189</v>
      </c>
      <c r="C12" s="261">
        <v>579.95000000000005</v>
      </c>
    </row>
    <row r="13" spans="1:3" s="261" customFormat="1" x14ac:dyDescent="0.25">
      <c r="A13" s="261">
        <v>1000340</v>
      </c>
      <c r="B13" s="261" t="s">
        <v>190</v>
      </c>
      <c r="C13" s="261">
        <v>54.96</v>
      </c>
    </row>
    <row r="14" spans="1:3" s="261" customFormat="1" x14ac:dyDescent="0.25">
      <c r="A14" s="261">
        <v>1000370</v>
      </c>
      <c r="B14" s="261" t="s">
        <v>191</v>
      </c>
      <c r="C14" s="261">
        <v>11.65</v>
      </c>
    </row>
    <row r="15" spans="1:3" s="261" customFormat="1" x14ac:dyDescent="0.25">
      <c r="A15" s="261">
        <v>1000390</v>
      </c>
      <c r="B15" s="261" t="s">
        <v>192</v>
      </c>
      <c r="C15" s="261">
        <v>101.94</v>
      </c>
    </row>
    <row r="16" spans="1:3" s="261" customFormat="1" x14ac:dyDescent="0.25">
      <c r="A16" s="261">
        <v>1000420</v>
      </c>
      <c r="B16" s="261" t="s">
        <v>193</v>
      </c>
      <c r="C16" s="261">
        <v>49.99</v>
      </c>
    </row>
    <row r="17" spans="1:3" s="261" customFormat="1" x14ac:dyDescent="0.25">
      <c r="A17" s="261">
        <v>1000450</v>
      </c>
      <c r="B17" s="261" t="s">
        <v>194</v>
      </c>
      <c r="C17" s="261">
        <v>46.99</v>
      </c>
    </row>
    <row r="18" spans="1:3" s="261" customFormat="1" x14ac:dyDescent="0.25">
      <c r="A18" s="261">
        <v>1000480</v>
      </c>
      <c r="B18" s="261" t="s">
        <v>195</v>
      </c>
      <c r="C18" s="261">
        <v>14.95</v>
      </c>
    </row>
    <row r="19" spans="1:3" s="261" customFormat="1" x14ac:dyDescent="0.25">
      <c r="A19" s="261">
        <v>1000500</v>
      </c>
      <c r="B19" s="261" t="s">
        <v>196</v>
      </c>
      <c r="C19" s="261">
        <v>9.9499999999999993</v>
      </c>
    </row>
    <row r="20" spans="1:3" s="261" customFormat="1" x14ac:dyDescent="0.25">
      <c r="A20" s="261">
        <v>1000510</v>
      </c>
      <c r="B20" s="261" t="s">
        <v>197</v>
      </c>
      <c r="C20" s="261">
        <v>10.75</v>
      </c>
    </row>
    <row r="21" spans="1:3" s="261" customFormat="1" x14ac:dyDescent="0.25">
      <c r="A21" s="261">
        <v>1000520</v>
      </c>
      <c r="B21" s="261" t="s">
        <v>198</v>
      </c>
      <c r="C21" s="261">
        <v>25.45</v>
      </c>
    </row>
    <row r="22" spans="1:3" s="261" customFormat="1" x14ac:dyDescent="0.25">
      <c r="A22" s="261">
        <v>1000540</v>
      </c>
      <c r="B22" s="261" t="s">
        <v>199</v>
      </c>
      <c r="C22" s="261">
        <v>11.2</v>
      </c>
    </row>
    <row r="23" spans="1:3" s="261" customFormat="1" x14ac:dyDescent="0.25">
      <c r="A23" s="261">
        <v>1000560</v>
      </c>
      <c r="B23" s="261" t="s">
        <v>200</v>
      </c>
      <c r="C23" s="261">
        <v>37.450000000000003</v>
      </c>
    </row>
    <row r="24" spans="1:3" s="261" customFormat="1" x14ac:dyDescent="0.25">
      <c r="A24" s="261">
        <v>1000570</v>
      </c>
      <c r="B24" s="261" t="s">
        <v>201</v>
      </c>
      <c r="C24" s="261">
        <v>26</v>
      </c>
    </row>
    <row r="25" spans="1:3" s="261" customFormat="1" x14ac:dyDescent="0.25">
      <c r="A25" s="261">
        <v>1000590</v>
      </c>
      <c r="B25" s="261" t="s">
        <v>202</v>
      </c>
      <c r="C25" s="261">
        <v>49.99</v>
      </c>
    </row>
    <row r="26" spans="1:3" s="261" customFormat="1" x14ac:dyDescent="0.25">
      <c r="A26" s="261">
        <v>1000640</v>
      </c>
      <c r="B26" s="261" t="s">
        <v>203</v>
      </c>
      <c r="C26" s="261">
        <v>69.989999999999995</v>
      </c>
    </row>
    <row r="27" spans="1:3" s="261" customFormat="1" x14ac:dyDescent="0.25">
      <c r="A27" s="261">
        <v>1000650</v>
      </c>
      <c r="B27" s="261" t="s">
        <v>204</v>
      </c>
      <c r="C27" s="261">
        <v>89.99</v>
      </c>
    </row>
    <row r="28" spans="1:3" s="261" customFormat="1" x14ac:dyDescent="0.25">
      <c r="A28" s="261">
        <v>1000660</v>
      </c>
      <c r="B28" s="261" t="s">
        <v>205</v>
      </c>
      <c r="C28" s="261">
        <v>31.99</v>
      </c>
    </row>
    <row r="29" spans="1:3" s="261" customFormat="1" x14ac:dyDescent="0.25">
      <c r="A29" s="261">
        <v>1000670</v>
      </c>
      <c r="B29" s="261" t="s">
        <v>206</v>
      </c>
      <c r="C29" s="261">
        <v>24.06</v>
      </c>
    </row>
    <row r="30" spans="1:3" s="261" customFormat="1" x14ac:dyDescent="0.25">
      <c r="A30" s="261">
        <v>1000680</v>
      </c>
      <c r="B30" s="261" t="s">
        <v>207</v>
      </c>
      <c r="C30" s="261">
        <v>9.99</v>
      </c>
    </row>
    <row r="31" spans="1:3" s="261" customFormat="1" x14ac:dyDescent="0.25">
      <c r="A31" s="261">
        <v>1000690</v>
      </c>
      <c r="B31" s="261" t="s">
        <v>208</v>
      </c>
      <c r="C31" s="261">
        <v>12.99</v>
      </c>
    </row>
    <row r="32" spans="1:3" s="261" customFormat="1" x14ac:dyDescent="0.25">
      <c r="A32" s="261">
        <v>1000700</v>
      </c>
      <c r="B32" s="261" t="s">
        <v>209</v>
      </c>
      <c r="C32" s="261">
        <v>114.95</v>
      </c>
    </row>
    <row r="33" spans="1:3" s="261" customFormat="1" x14ac:dyDescent="0.25">
      <c r="A33" s="261">
        <v>1000720</v>
      </c>
      <c r="B33" s="261" t="s">
        <v>210</v>
      </c>
      <c r="C33" s="261">
        <v>266.97000000000003</v>
      </c>
    </row>
    <row r="34" spans="1:3" s="261" customFormat="1" x14ac:dyDescent="0.25">
      <c r="A34" s="261">
        <v>1000750</v>
      </c>
      <c r="B34" s="261" t="s">
        <v>211</v>
      </c>
      <c r="C34" s="261">
        <v>3.1</v>
      </c>
    </row>
    <row r="35" spans="1:3" s="261" customFormat="1" x14ac:dyDescent="0.25">
      <c r="A35" s="261">
        <v>1000980</v>
      </c>
      <c r="B35" s="261" t="s">
        <v>212</v>
      </c>
      <c r="C35" s="261">
        <v>2102</v>
      </c>
    </row>
    <row r="36" spans="1:3" s="261" customFormat="1" x14ac:dyDescent="0.25">
      <c r="A36" s="261">
        <v>1000990</v>
      </c>
      <c r="B36" s="261" t="s">
        <v>213</v>
      </c>
      <c r="C36" s="261">
        <v>230</v>
      </c>
    </row>
    <row r="37" spans="1:3" s="261" customFormat="1" x14ac:dyDescent="0.25">
      <c r="A37" s="261">
        <v>1001000</v>
      </c>
      <c r="B37" s="261" t="s">
        <v>214</v>
      </c>
      <c r="C37" s="261">
        <v>127</v>
      </c>
    </row>
    <row r="38" spans="1:3" s="261" customFormat="1" x14ac:dyDescent="0.25">
      <c r="A38" s="261">
        <v>1001010</v>
      </c>
      <c r="B38" s="261" t="s">
        <v>215</v>
      </c>
      <c r="C38" s="261">
        <v>138</v>
      </c>
    </row>
    <row r="39" spans="1:3" s="261" customFormat="1" x14ac:dyDescent="0.25">
      <c r="A39" s="261">
        <v>1001020</v>
      </c>
      <c r="B39" s="261" t="s">
        <v>216</v>
      </c>
      <c r="C39" s="261">
        <v>100</v>
      </c>
    </row>
    <row r="40" spans="1:3" s="261" customFormat="1" x14ac:dyDescent="0.25">
      <c r="A40" s="261">
        <v>1001030</v>
      </c>
      <c r="B40" s="261" t="s">
        <v>217</v>
      </c>
      <c r="C40" s="261">
        <v>87</v>
      </c>
    </row>
    <row r="41" spans="1:3" s="261" customFormat="1" x14ac:dyDescent="0.25">
      <c r="A41" s="261">
        <v>1001040</v>
      </c>
      <c r="B41" s="261" t="s">
        <v>218</v>
      </c>
      <c r="C41" s="261">
        <v>261</v>
      </c>
    </row>
    <row r="42" spans="1:3" s="261" customFormat="1" x14ac:dyDescent="0.25">
      <c r="A42" s="261">
        <v>1001050</v>
      </c>
      <c r="B42" s="261" t="s">
        <v>219</v>
      </c>
      <c r="C42" s="261">
        <v>261</v>
      </c>
    </row>
    <row r="43" spans="1:3" s="261" customFormat="1" x14ac:dyDescent="0.25">
      <c r="A43" s="261">
        <v>1001060</v>
      </c>
      <c r="B43" s="261" t="s">
        <v>220</v>
      </c>
      <c r="C43" s="261">
        <v>1410.75</v>
      </c>
    </row>
    <row r="44" spans="1:3" s="261" customFormat="1" x14ac:dyDescent="0.25">
      <c r="A44" s="261">
        <v>1001070</v>
      </c>
      <c r="B44" s="261" t="s">
        <v>221</v>
      </c>
      <c r="C44" s="261">
        <v>114</v>
      </c>
    </row>
    <row r="45" spans="1:3" s="261" customFormat="1" x14ac:dyDescent="0.25">
      <c r="A45" s="261">
        <v>1001080</v>
      </c>
      <c r="B45" s="261" t="s">
        <v>222</v>
      </c>
      <c r="C45" s="261">
        <v>228</v>
      </c>
    </row>
    <row r="46" spans="1:3" s="261" customFormat="1" x14ac:dyDescent="0.25">
      <c r="A46" s="261">
        <v>1001090</v>
      </c>
      <c r="B46" s="261" t="s">
        <v>223</v>
      </c>
      <c r="C46" s="261">
        <v>270</v>
      </c>
    </row>
    <row r="47" spans="1:3" s="261" customFormat="1" x14ac:dyDescent="0.25">
      <c r="A47" s="261">
        <v>1001100</v>
      </c>
      <c r="B47" s="261" t="s">
        <v>224</v>
      </c>
      <c r="C47" s="261">
        <v>76</v>
      </c>
    </row>
    <row r="48" spans="1:3" s="261" customFormat="1" x14ac:dyDescent="0.25">
      <c r="A48" s="261">
        <v>1001110</v>
      </c>
      <c r="B48" s="261" t="s">
        <v>225</v>
      </c>
      <c r="C48" s="261">
        <v>49</v>
      </c>
    </row>
    <row r="49" spans="1:3" s="261" customFormat="1" x14ac:dyDescent="0.25">
      <c r="A49" s="261">
        <v>1001130</v>
      </c>
      <c r="B49" s="261" t="s">
        <v>226</v>
      </c>
      <c r="C49" s="261">
        <v>209</v>
      </c>
    </row>
    <row r="50" spans="1:3" s="261" customFormat="1" x14ac:dyDescent="0.25">
      <c r="A50" s="261">
        <v>1001140</v>
      </c>
      <c r="B50" s="261" t="s">
        <v>227</v>
      </c>
      <c r="C50" s="261">
        <v>54.99</v>
      </c>
    </row>
    <row r="51" spans="1:3" s="261" customFormat="1" x14ac:dyDescent="0.25">
      <c r="A51" s="261">
        <v>1001161</v>
      </c>
      <c r="B51" s="261" t="s">
        <v>228</v>
      </c>
      <c r="C51" s="261">
        <v>589</v>
      </c>
    </row>
    <row r="52" spans="1:3" s="261" customFormat="1" x14ac:dyDescent="0.25">
      <c r="A52" s="261">
        <v>1001170</v>
      </c>
      <c r="B52" s="261" t="s">
        <v>229</v>
      </c>
      <c r="C52" s="261">
        <v>59</v>
      </c>
    </row>
    <row r="53" spans="1:3" s="261" customFormat="1" x14ac:dyDescent="0.25">
      <c r="A53" s="261">
        <v>1001180</v>
      </c>
      <c r="B53" s="261" t="s">
        <v>230</v>
      </c>
      <c r="C53" s="261">
        <v>1751</v>
      </c>
    </row>
    <row r="54" spans="1:3" s="261" customFormat="1" x14ac:dyDescent="0.25">
      <c r="A54" s="261">
        <v>1001210</v>
      </c>
      <c r="B54" s="261" t="s">
        <v>231</v>
      </c>
      <c r="C54" s="261">
        <v>149.94999999999999</v>
      </c>
    </row>
    <row r="55" spans="1:3" s="261" customFormat="1" x14ac:dyDescent="0.25">
      <c r="A55" s="261">
        <v>1001220</v>
      </c>
      <c r="B55" s="261" t="s">
        <v>232</v>
      </c>
      <c r="C55" s="261">
        <v>249.95</v>
      </c>
    </row>
    <row r="56" spans="1:3" s="261" customFormat="1" x14ac:dyDescent="0.25">
      <c r="A56" s="261">
        <v>1001230</v>
      </c>
      <c r="B56" s="261" t="s">
        <v>233</v>
      </c>
      <c r="C56" s="261">
        <v>309.95</v>
      </c>
    </row>
    <row r="57" spans="1:3" s="261" customFormat="1" x14ac:dyDescent="0.25">
      <c r="A57" s="261">
        <v>1001240</v>
      </c>
      <c r="B57" s="261" t="s">
        <v>234</v>
      </c>
      <c r="C57" s="261">
        <v>95</v>
      </c>
    </row>
    <row r="58" spans="1:3" s="261" customFormat="1" x14ac:dyDescent="0.25">
      <c r="A58" s="261">
        <v>1001250</v>
      </c>
      <c r="B58" s="261" t="s">
        <v>235</v>
      </c>
      <c r="C58" s="261">
        <v>998</v>
      </c>
    </row>
    <row r="59" spans="1:3" s="261" customFormat="1" x14ac:dyDescent="0.25">
      <c r="A59" s="261">
        <v>1001260</v>
      </c>
      <c r="B59" s="261" t="s">
        <v>236</v>
      </c>
      <c r="C59" s="261">
        <v>262.5</v>
      </c>
    </row>
    <row r="60" spans="1:3" s="261" customFormat="1" x14ac:dyDescent="0.25">
      <c r="A60" s="261">
        <v>1001270</v>
      </c>
      <c r="B60" s="261" t="s">
        <v>237</v>
      </c>
      <c r="C60" s="261">
        <v>1047.9000000000001</v>
      </c>
    </row>
    <row r="61" spans="1:3" s="261" customFormat="1" x14ac:dyDescent="0.25">
      <c r="A61" s="261">
        <v>1001280</v>
      </c>
      <c r="B61" s="261" t="s">
        <v>238</v>
      </c>
      <c r="C61" s="261">
        <v>825</v>
      </c>
    </row>
    <row r="62" spans="1:3" s="261" customFormat="1" x14ac:dyDescent="0.25">
      <c r="A62" s="261">
        <v>1001290</v>
      </c>
      <c r="B62" s="261" t="s">
        <v>239</v>
      </c>
      <c r="C62" s="261">
        <v>998</v>
      </c>
    </row>
    <row r="63" spans="1:3" s="261" customFormat="1" x14ac:dyDescent="0.25">
      <c r="A63" s="261">
        <v>1001300</v>
      </c>
      <c r="B63" s="261" t="s">
        <v>240</v>
      </c>
      <c r="C63" s="261">
        <v>1198</v>
      </c>
    </row>
    <row r="64" spans="1:3" s="261" customFormat="1" x14ac:dyDescent="0.25">
      <c r="A64" s="261">
        <v>1001310</v>
      </c>
      <c r="B64" s="261" t="s">
        <v>241</v>
      </c>
      <c r="C64" s="261">
        <v>1598</v>
      </c>
    </row>
    <row r="65" spans="1:3" s="261" customFormat="1" x14ac:dyDescent="0.25">
      <c r="A65" s="261">
        <v>1001320</v>
      </c>
      <c r="B65" s="261" t="s">
        <v>242</v>
      </c>
      <c r="C65" s="261">
        <v>1758</v>
      </c>
    </row>
    <row r="66" spans="1:3" s="261" customFormat="1" x14ac:dyDescent="0.25">
      <c r="A66" s="261">
        <v>1001330</v>
      </c>
      <c r="B66" s="261" t="s">
        <v>243</v>
      </c>
      <c r="C66" s="261">
        <v>1898</v>
      </c>
    </row>
    <row r="67" spans="1:3" s="261" customFormat="1" x14ac:dyDescent="0.25">
      <c r="A67" s="261">
        <v>1001340</v>
      </c>
      <c r="B67" s="261" t="s">
        <v>244</v>
      </c>
      <c r="C67" s="261">
        <v>523.95000000000005</v>
      </c>
    </row>
    <row r="68" spans="1:3" s="261" customFormat="1" x14ac:dyDescent="0.25">
      <c r="A68" s="261">
        <v>1001470</v>
      </c>
      <c r="B68" s="261" t="s">
        <v>245</v>
      </c>
      <c r="C68" s="261">
        <v>0</v>
      </c>
    </row>
    <row r="69" spans="1:3" s="261" customFormat="1" x14ac:dyDescent="0.25">
      <c r="A69" s="261">
        <v>1001480</v>
      </c>
      <c r="B69" s="261" t="s">
        <v>246</v>
      </c>
      <c r="C69" s="261">
        <v>0</v>
      </c>
    </row>
    <row r="70" spans="1:3" s="261" customFormat="1" x14ac:dyDescent="0.25">
      <c r="A70" s="261">
        <v>1001490</v>
      </c>
      <c r="B70" s="261" t="s">
        <v>247</v>
      </c>
      <c r="C70" s="261">
        <v>0</v>
      </c>
    </row>
    <row r="71" spans="1:3" s="261" customFormat="1" x14ac:dyDescent="0.25">
      <c r="A71" s="261">
        <v>1001530</v>
      </c>
      <c r="B71" s="261" t="s">
        <v>248</v>
      </c>
      <c r="C71" s="261">
        <v>0</v>
      </c>
    </row>
    <row r="72" spans="1:3" s="261" customFormat="1" x14ac:dyDescent="0.25">
      <c r="A72" s="261">
        <v>1001600</v>
      </c>
      <c r="B72" s="261" t="s">
        <v>249</v>
      </c>
      <c r="C72" s="261">
        <v>0</v>
      </c>
    </row>
    <row r="73" spans="1:3" s="261" customFormat="1" x14ac:dyDescent="0.25">
      <c r="A73" s="261">
        <v>1001610</v>
      </c>
      <c r="B73" s="261" t="s">
        <v>250</v>
      </c>
      <c r="C73" s="261">
        <v>0</v>
      </c>
    </row>
    <row r="74" spans="1:3" s="261" customFormat="1" x14ac:dyDescent="0.25">
      <c r="A74" s="261">
        <v>1001620</v>
      </c>
      <c r="B74" s="261" t="s">
        <v>251</v>
      </c>
      <c r="C74" s="261">
        <v>0</v>
      </c>
    </row>
    <row r="75" spans="1:3" s="261" customFormat="1" x14ac:dyDescent="0.25">
      <c r="A75" s="261">
        <v>1001650</v>
      </c>
      <c r="B75" s="261" t="s">
        <v>252</v>
      </c>
      <c r="C75" s="261">
        <v>0</v>
      </c>
    </row>
    <row r="76" spans="1:3" s="261" customFormat="1" x14ac:dyDescent="0.25">
      <c r="A76" s="261">
        <v>1001700</v>
      </c>
      <c r="B76" s="261" t="s">
        <v>253</v>
      </c>
      <c r="C76" s="261">
        <v>69.95</v>
      </c>
    </row>
    <row r="77" spans="1:3" s="261" customFormat="1" x14ac:dyDescent="0.25">
      <c r="A77" s="261">
        <v>1001710</v>
      </c>
      <c r="B77" s="261" t="s">
        <v>254</v>
      </c>
      <c r="C77" s="261">
        <v>119.95</v>
      </c>
    </row>
    <row r="78" spans="1:3" s="261" customFormat="1" x14ac:dyDescent="0.25">
      <c r="A78" s="261">
        <v>1001730</v>
      </c>
      <c r="B78" s="261" t="s">
        <v>255</v>
      </c>
      <c r="C78" s="261">
        <v>0</v>
      </c>
    </row>
    <row r="79" spans="1:3" s="261" customFormat="1" x14ac:dyDescent="0.25">
      <c r="A79" s="261">
        <v>1001780</v>
      </c>
      <c r="B79" s="261" t="s">
        <v>256</v>
      </c>
      <c r="C79" s="261">
        <v>0</v>
      </c>
    </row>
    <row r="80" spans="1:3" s="261" customFormat="1" x14ac:dyDescent="0.25">
      <c r="A80" s="261">
        <v>1001790</v>
      </c>
      <c r="B80" s="261" t="s">
        <v>257</v>
      </c>
      <c r="C80" s="261">
        <v>0</v>
      </c>
    </row>
    <row r="81" spans="1:3" s="261" customFormat="1" x14ac:dyDescent="0.25">
      <c r="A81" s="261">
        <v>1001800</v>
      </c>
      <c r="B81" s="261" t="s">
        <v>258</v>
      </c>
      <c r="C81" s="261">
        <v>0</v>
      </c>
    </row>
    <row r="82" spans="1:3" s="261" customFormat="1" x14ac:dyDescent="0.25">
      <c r="A82" s="261">
        <v>1001861</v>
      </c>
      <c r="B82" s="261" t="s">
        <v>259</v>
      </c>
      <c r="C82" s="261">
        <v>22.95</v>
      </c>
    </row>
    <row r="83" spans="1:3" s="261" customFormat="1" x14ac:dyDescent="0.25">
      <c r="A83" s="261">
        <v>1001862</v>
      </c>
      <c r="B83" s="261" t="s">
        <v>260</v>
      </c>
      <c r="C83" s="261">
        <v>22.95</v>
      </c>
    </row>
    <row r="84" spans="1:3" s="261" customFormat="1" x14ac:dyDescent="0.25">
      <c r="A84" s="261">
        <v>1001880</v>
      </c>
      <c r="B84" s="261" t="s">
        <v>261</v>
      </c>
      <c r="C84" s="261">
        <v>0</v>
      </c>
    </row>
    <row r="85" spans="1:3" s="261" customFormat="1" x14ac:dyDescent="0.25">
      <c r="A85" s="261">
        <v>1001890</v>
      </c>
      <c r="B85" s="261" t="s">
        <v>262</v>
      </c>
      <c r="C85" s="261">
        <v>0</v>
      </c>
    </row>
    <row r="86" spans="1:3" s="261" customFormat="1" x14ac:dyDescent="0.25">
      <c r="A86" s="261">
        <v>1001900</v>
      </c>
      <c r="B86" s="261" t="s">
        <v>263</v>
      </c>
      <c r="C86" s="261">
        <v>0</v>
      </c>
    </row>
    <row r="87" spans="1:3" s="261" customFormat="1" x14ac:dyDescent="0.25">
      <c r="A87" s="261">
        <v>1002030</v>
      </c>
      <c r="B87" s="261" t="s">
        <v>264</v>
      </c>
      <c r="C87" s="261">
        <v>0</v>
      </c>
    </row>
    <row r="88" spans="1:3" s="261" customFormat="1" x14ac:dyDescent="0.25">
      <c r="A88" s="261">
        <v>1002040</v>
      </c>
      <c r="B88" s="261" t="s">
        <v>265</v>
      </c>
      <c r="C88" s="261">
        <v>0</v>
      </c>
    </row>
    <row r="89" spans="1:3" s="261" customFormat="1" x14ac:dyDescent="0.25">
      <c r="A89" s="261">
        <v>1002050</v>
      </c>
      <c r="B89" s="261" t="s">
        <v>266</v>
      </c>
      <c r="C89" s="261">
        <v>0</v>
      </c>
    </row>
    <row r="90" spans="1:3" s="261" customFormat="1" x14ac:dyDescent="0.25">
      <c r="A90" s="261">
        <v>1002060</v>
      </c>
      <c r="B90" s="261" t="s">
        <v>267</v>
      </c>
      <c r="C90" s="261">
        <v>0</v>
      </c>
    </row>
    <row r="91" spans="1:3" s="261" customFormat="1" x14ac:dyDescent="0.25">
      <c r="A91" s="261">
        <v>1002300</v>
      </c>
      <c r="B91" s="261" t="s">
        <v>268</v>
      </c>
      <c r="C91" s="261">
        <v>0</v>
      </c>
    </row>
    <row r="92" spans="1:3" s="261" customFormat="1" x14ac:dyDescent="0.25">
      <c r="A92" s="261">
        <v>1002320</v>
      </c>
      <c r="B92" s="261" t="s">
        <v>269</v>
      </c>
      <c r="C92" s="261">
        <v>0</v>
      </c>
    </row>
    <row r="93" spans="1:3" s="261" customFormat="1" x14ac:dyDescent="0.25">
      <c r="A93" s="261">
        <v>1002330</v>
      </c>
      <c r="B93" s="261" t="s">
        <v>270</v>
      </c>
      <c r="C93" s="261">
        <v>0</v>
      </c>
    </row>
    <row r="94" spans="1:3" s="261" customFormat="1" x14ac:dyDescent="0.25">
      <c r="A94" s="261">
        <v>1002340</v>
      </c>
      <c r="B94" s="261" t="s">
        <v>271</v>
      </c>
      <c r="C94" s="261">
        <v>0</v>
      </c>
    </row>
    <row r="95" spans="1:3" s="261" customFormat="1" x14ac:dyDescent="0.25">
      <c r="A95" s="261">
        <v>1002361</v>
      </c>
      <c r="B95" s="261" t="s">
        <v>272</v>
      </c>
      <c r="C95" s="261">
        <v>0</v>
      </c>
    </row>
    <row r="96" spans="1:3" s="261" customFormat="1" x14ac:dyDescent="0.25">
      <c r="A96" s="261">
        <v>1002370</v>
      </c>
      <c r="B96" s="261" t="s">
        <v>273</v>
      </c>
      <c r="C96" s="261">
        <v>5.4</v>
      </c>
    </row>
    <row r="97" spans="1:3" s="261" customFormat="1" x14ac:dyDescent="0.25">
      <c r="A97" s="261">
        <v>1002400</v>
      </c>
      <c r="B97" s="261" t="s">
        <v>274</v>
      </c>
      <c r="C97" s="261">
        <v>43.9</v>
      </c>
    </row>
    <row r="98" spans="1:3" s="261" customFormat="1" x14ac:dyDescent="0.25">
      <c r="A98" s="261">
        <v>1002460</v>
      </c>
      <c r="B98" s="261" t="s">
        <v>275</v>
      </c>
      <c r="C98" s="261">
        <v>0</v>
      </c>
    </row>
    <row r="99" spans="1:3" s="261" customFormat="1" x14ac:dyDescent="0.25">
      <c r="A99" s="261">
        <v>1002670</v>
      </c>
      <c r="B99" s="261" t="s">
        <v>276</v>
      </c>
      <c r="C99" s="261">
        <v>89</v>
      </c>
    </row>
    <row r="100" spans="1:3" s="261" customFormat="1" x14ac:dyDescent="0.25">
      <c r="A100" s="261">
        <v>1002690</v>
      </c>
      <c r="B100" s="261" t="s">
        <v>277</v>
      </c>
      <c r="C100" s="261">
        <v>0</v>
      </c>
    </row>
    <row r="101" spans="1:3" s="261" customFormat="1" x14ac:dyDescent="0.25">
      <c r="A101" s="261">
        <v>1002830</v>
      </c>
      <c r="B101" s="261" t="s">
        <v>278</v>
      </c>
      <c r="C101" s="261">
        <v>2.25</v>
      </c>
    </row>
    <row r="102" spans="1:3" s="261" customFormat="1" x14ac:dyDescent="0.25">
      <c r="A102" s="261">
        <v>1002840</v>
      </c>
      <c r="B102" s="261" t="s">
        <v>279</v>
      </c>
      <c r="C102" s="261">
        <v>7.15</v>
      </c>
    </row>
    <row r="103" spans="1:3" s="261" customFormat="1" x14ac:dyDescent="0.25">
      <c r="A103" s="261">
        <v>1002850</v>
      </c>
      <c r="B103" s="261" t="s">
        <v>280</v>
      </c>
      <c r="C103" s="261">
        <v>6.95</v>
      </c>
    </row>
    <row r="104" spans="1:3" s="261" customFormat="1" x14ac:dyDescent="0.25">
      <c r="A104" s="261">
        <v>1002860</v>
      </c>
      <c r="B104" s="261" t="s">
        <v>281</v>
      </c>
      <c r="C104" s="261">
        <v>2</v>
      </c>
    </row>
    <row r="105" spans="1:3" s="261" customFormat="1" x14ac:dyDescent="0.25">
      <c r="A105" s="261">
        <v>1002870</v>
      </c>
      <c r="B105" s="261" t="s">
        <v>282</v>
      </c>
      <c r="C105" s="261">
        <v>2</v>
      </c>
    </row>
    <row r="106" spans="1:3" s="261" customFormat="1" x14ac:dyDescent="0.25">
      <c r="A106" s="261">
        <v>1002880</v>
      </c>
      <c r="B106" s="261" t="s">
        <v>283</v>
      </c>
      <c r="C106" s="261">
        <v>2</v>
      </c>
    </row>
    <row r="107" spans="1:3" s="261" customFormat="1" x14ac:dyDescent="0.25">
      <c r="A107" s="261">
        <v>1002890</v>
      </c>
      <c r="B107" s="261" t="s">
        <v>284</v>
      </c>
      <c r="C107" s="261">
        <v>3.95</v>
      </c>
    </row>
    <row r="108" spans="1:3" s="261" customFormat="1" x14ac:dyDescent="0.25">
      <c r="A108" s="261">
        <v>1002900</v>
      </c>
      <c r="B108" s="261" t="s">
        <v>285</v>
      </c>
      <c r="C108" s="261">
        <v>1</v>
      </c>
    </row>
    <row r="109" spans="1:3" s="261" customFormat="1" x14ac:dyDescent="0.25">
      <c r="A109" s="261">
        <v>1003120</v>
      </c>
      <c r="B109" s="261" t="s">
        <v>286</v>
      </c>
      <c r="C109" s="261">
        <v>45.95</v>
      </c>
    </row>
    <row r="110" spans="1:3" s="261" customFormat="1" x14ac:dyDescent="0.25">
      <c r="A110" s="261">
        <v>1003190</v>
      </c>
      <c r="B110" s="261" t="s">
        <v>212</v>
      </c>
      <c r="C110" s="261">
        <v>2921</v>
      </c>
    </row>
    <row r="111" spans="1:3" s="261" customFormat="1" x14ac:dyDescent="0.25">
      <c r="A111" s="261">
        <v>1003210</v>
      </c>
      <c r="B111" s="261" t="s">
        <v>215</v>
      </c>
      <c r="C111" s="261">
        <v>138</v>
      </c>
    </row>
    <row r="112" spans="1:3" s="261" customFormat="1" x14ac:dyDescent="0.25">
      <c r="A112" s="261">
        <v>1003241</v>
      </c>
      <c r="B112" s="261" t="s">
        <v>287</v>
      </c>
      <c r="C112" s="261">
        <v>0</v>
      </c>
    </row>
    <row r="113" spans="1:3" s="261" customFormat="1" x14ac:dyDescent="0.25">
      <c r="A113" s="261">
        <v>1003260</v>
      </c>
      <c r="B113" s="261" t="s">
        <v>288</v>
      </c>
      <c r="C113" s="261">
        <v>6.45</v>
      </c>
    </row>
    <row r="114" spans="1:3" s="261" customFormat="1" x14ac:dyDescent="0.25">
      <c r="A114" s="261">
        <v>1003270</v>
      </c>
      <c r="B114" s="261" t="s">
        <v>289</v>
      </c>
      <c r="C114" s="261">
        <v>5.95</v>
      </c>
    </row>
    <row r="115" spans="1:3" s="261" customFormat="1" x14ac:dyDescent="0.25">
      <c r="A115" s="261">
        <v>1003280</v>
      </c>
      <c r="B115" s="261" t="s">
        <v>290</v>
      </c>
      <c r="C115" s="261">
        <v>13</v>
      </c>
    </row>
    <row r="116" spans="1:3" s="261" customFormat="1" x14ac:dyDescent="0.25">
      <c r="A116" s="261">
        <v>1003290</v>
      </c>
      <c r="B116" s="261" t="s">
        <v>291</v>
      </c>
      <c r="C116" s="261">
        <v>4.95</v>
      </c>
    </row>
    <row r="117" spans="1:3" s="261" customFormat="1" x14ac:dyDescent="0.25">
      <c r="A117" s="261">
        <v>1003310</v>
      </c>
      <c r="B117" s="261" t="s">
        <v>292</v>
      </c>
      <c r="C117" s="261">
        <v>2.95</v>
      </c>
    </row>
    <row r="118" spans="1:3" s="261" customFormat="1" x14ac:dyDescent="0.25">
      <c r="A118" s="261">
        <v>1003320</v>
      </c>
      <c r="B118" s="261" t="s">
        <v>293</v>
      </c>
      <c r="C118" s="261">
        <v>2.95</v>
      </c>
    </row>
    <row r="119" spans="1:3" s="261" customFormat="1" x14ac:dyDescent="0.25">
      <c r="A119" s="261">
        <v>1003350</v>
      </c>
      <c r="B119" s="261" t="s">
        <v>294</v>
      </c>
      <c r="C119" s="261">
        <v>5.0999999999999996</v>
      </c>
    </row>
    <row r="120" spans="1:3" s="261" customFormat="1" x14ac:dyDescent="0.25">
      <c r="A120" s="261">
        <v>1003481</v>
      </c>
      <c r="B120" s="261" t="s">
        <v>295</v>
      </c>
      <c r="C120" s="261">
        <v>1059</v>
      </c>
    </row>
    <row r="121" spans="1:3" s="261" customFormat="1" x14ac:dyDescent="0.25">
      <c r="A121" s="261">
        <v>1003491</v>
      </c>
      <c r="B121" s="261" t="s">
        <v>296</v>
      </c>
      <c r="C121" s="261">
        <v>759</v>
      </c>
    </row>
    <row r="122" spans="1:3" s="261" customFormat="1" x14ac:dyDescent="0.25">
      <c r="A122" s="261">
        <v>1003501</v>
      </c>
      <c r="B122" s="261" t="s">
        <v>297</v>
      </c>
      <c r="C122" s="261">
        <v>979</v>
      </c>
    </row>
    <row r="123" spans="1:3" s="261" customFormat="1" x14ac:dyDescent="0.25">
      <c r="A123" s="261">
        <v>1003511</v>
      </c>
      <c r="B123" s="261" t="s">
        <v>298</v>
      </c>
      <c r="C123" s="261">
        <v>1259</v>
      </c>
    </row>
    <row r="124" spans="1:3" s="261" customFormat="1" x14ac:dyDescent="0.25">
      <c r="A124" s="261">
        <v>1003520</v>
      </c>
      <c r="B124" s="261" t="s">
        <v>299</v>
      </c>
      <c r="C124" s="261">
        <v>124</v>
      </c>
    </row>
    <row r="125" spans="1:3" s="261" customFormat="1" x14ac:dyDescent="0.25">
      <c r="A125" s="261">
        <v>1003530</v>
      </c>
      <c r="B125" s="261" t="s">
        <v>300</v>
      </c>
      <c r="C125" s="261">
        <v>124</v>
      </c>
    </row>
    <row r="126" spans="1:3" s="261" customFormat="1" x14ac:dyDescent="0.25">
      <c r="A126" s="261">
        <v>1003541</v>
      </c>
      <c r="B126" s="261" t="s">
        <v>301</v>
      </c>
      <c r="C126" s="261">
        <v>1200</v>
      </c>
    </row>
    <row r="127" spans="1:3" s="261" customFormat="1" x14ac:dyDescent="0.25">
      <c r="A127" s="261">
        <v>1003551</v>
      </c>
      <c r="B127" s="261" t="s">
        <v>302</v>
      </c>
      <c r="C127" s="261">
        <v>2149</v>
      </c>
    </row>
    <row r="128" spans="1:3" s="261" customFormat="1" x14ac:dyDescent="0.25">
      <c r="A128" s="261">
        <v>1003570</v>
      </c>
      <c r="B128" s="261" t="s">
        <v>303</v>
      </c>
      <c r="C128" s="261">
        <v>20.95</v>
      </c>
    </row>
    <row r="129" spans="1:3" s="261" customFormat="1" x14ac:dyDescent="0.25">
      <c r="A129" s="261">
        <v>1003580</v>
      </c>
      <c r="B129" s="261" t="s">
        <v>304</v>
      </c>
      <c r="C129" s="261">
        <v>109.99</v>
      </c>
    </row>
    <row r="130" spans="1:3" s="261" customFormat="1" x14ac:dyDescent="0.25">
      <c r="A130" s="261">
        <v>1003600</v>
      </c>
      <c r="B130" s="261" t="s">
        <v>305</v>
      </c>
      <c r="C130" s="261">
        <v>229.99</v>
      </c>
    </row>
    <row r="131" spans="1:3" s="261" customFormat="1" x14ac:dyDescent="0.25">
      <c r="A131" s="261">
        <v>1003610</v>
      </c>
      <c r="B131" s="261" t="s">
        <v>306</v>
      </c>
      <c r="C131" s="261">
        <v>119.95</v>
      </c>
    </row>
    <row r="132" spans="1:3" s="261" customFormat="1" x14ac:dyDescent="0.25">
      <c r="A132" s="261">
        <v>1003661</v>
      </c>
      <c r="B132" s="261" t="s">
        <v>307</v>
      </c>
      <c r="C132" s="261">
        <v>109</v>
      </c>
    </row>
    <row r="133" spans="1:3" s="261" customFormat="1" x14ac:dyDescent="0.25">
      <c r="A133" s="261">
        <v>1003881</v>
      </c>
      <c r="B133" s="261" t="s">
        <v>308</v>
      </c>
      <c r="C133" s="261">
        <v>0</v>
      </c>
    </row>
    <row r="134" spans="1:3" s="261" customFormat="1" x14ac:dyDescent="0.25">
      <c r="A134" s="261">
        <v>1003891</v>
      </c>
      <c r="B134" s="261" t="s">
        <v>309</v>
      </c>
      <c r="C134" s="261">
        <v>14.95</v>
      </c>
    </row>
    <row r="135" spans="1:3" s="261" customFormat="1" x14ac:dyDescent="0.25">
      <c r="A135" s="261">
        <v>1003920</v>
      </c>
      <c r="B135" s="261" t="s">
        <v>310</v>
      </c>
      <c r="C135" s="261">
        <v>25.95</v>
      </c>
    </row>
    <row r="136" spans="1:3" s="261" customFormat="1" x14ac:dyDescent="0.25">
      <c r="A136" s="261">
        <v>1003930</v>
      </c>
      <c r="B136" s="261" t="s">
        <v>311</v>
      </c>
      <c r="C136" s="261">
        <v>24.95</v>
      </c>
    </row>
    <row r="137" spans="1:3" s="261" customFormat="1" x14ac:dyDescent="0.25">
      <c r="A137" s="261">
        <v>1003940</v>
      </c>
      <c r="B137" s="261" t="s">
        <v>312</v>
      </c>
      <c r="C137" s="261">
        <v>1.95</v>
      </c>
    </row>
    <row r="138" spans="1:3" s="261" customFormat="1" x14ac:dyDescent="0.25">
      <c r="A138" s="261">
        <v>1004100</v>
      </c>
      <c r="B138" s="261" t="s">
        <v>313</v>
      </c>
      <c r="C138" s="261">
        <v>0.5</v>
      </c>
    </row>
    <row r="139" spans="1:3" s="261" customFormat="1" x14ac:dyDescent="0.25">
      <c r="A139" s="261">
        <v>1004110</v>
      </c>
      <c r="B139" s="261" t="s">
        <v>314</v>
      </c>
      <c r="C139" s="261">
        <v>0.5</v>
      </c>
    </row>
    <row r="140" spans="1:3" s="261" customFormat="1" x14ac:dyDescent="0.25">
      <c r="A140" s="261">
        <v>1004120</v>
      </c>
      <c r="B140" s="261" t="s">
        <v>315</v>
      </c>
      <c r="C140" s="261">
        <v>0.5</v>
      </c>
    </row>
    <row r="141" spans="1:3" s="261" customFormat="1" x14ac:dyDescent="0.25">
      <c r="A141" s="261">
        <v>1004150</v>
      </c>
      <c r="B141" s="261" t="s">
        <v>316</v>
      </c>
      <c r="C141" s="261">
        <v>27.25</v>
      </c>
    </row>
    <row r="142" spans="1:3" s="261" customFormat="1" x14ac:dyDescent="0.25">
      <c r="A142" s="261">
        <v>1004170</v>
      </c>
      <c r="B142" s="261" t="s">
        <v>317</v>
      </c>
      <c r="C142" s="261">
        <v>0</v>
      </c>
    </row>
    <row r="143" spans="1:3" s="261" customFormat="1" x14ac:dyDescent="0.25">
      <c r="A143" s="261">
        <v>1004180</v>
      </c>
      <c r="B143" s="261" t="s">
        <v>318</v>
      </c>
      <c r="C143" s="261">
        <v>0</v>
      </c>
    </row>
    <row r="144" spans="1:3" s="261" customFormat="1" x14ac:dyDescent="0.25">
      <c r="A144" s="261">
        <v>1004190</v>
      </c>
      <c r="B144" s="261" t="s">
        <v>319</v>
      </c>
      <c r="C144" s="261">
        <v>3.35</v>
      </c>
    </row>
    <row r="145" spans="1:3" s="261" customFormat="1" x14ac:dyDescent="0.25">
      <c r="A145" s="261">
        <v>1004200</v>
      </c>
      <c r="B145" s="261" t="s">
        <v>320</v>
      </c>
      <c r="C145" s="261">
        <v>3.13</v>
      </c>
    </row>
    <row r="146" spans="1:3" s="261" customFormat="1" x14ac:dyDescent="0.25">
      <c r="A146" s="261">
        <v>1004240</v>
      </c>
      <c r="B146" s="261" t="s">
        <v>321</v>
      </c>
      <c r="C146" s="261">
        <v>25.95</v>
      </c>
    </row>
    <row r="147" spans="1:3" s="261" customFormat="1" x14ac:dyDescent="0.25">
      <c r="A147" s="261">
        <v>1004250</v>
      </c>
      <c r="B147" s="261" t="s">
        <v>322</v>
      </c>
      <c r="C147" s="261">
        <v>25.95</v>
      </c>
    </row>
    <row r="148" spans="1:3" s="261" customFormat="1" x14ac:dyDescent="0.25">
      <c r="A148" s="261">
        <v>1004270</v>
      </c>
      <c r="B148" s="261" t="s">
        <v>323</v>
      </c>
      <c r="C148" s="261">
        <v>27.25</v>
      </c>
    </row>
    <row r="149" spans="1:3" s="261" customFormat="1" x14ac:dyDescent="0.25">
      <c r="A149" s="261">
        <v>1004280</v>
      </c>
      <c r="B149" s="261" t="s">
        <v>324</v>
      </c>
      <c r="C149" s="261">
        <v>27.25</v>
      </c>
    </row>
    <row r="150" spans="1:3" s="261" customFormat="1" x14ac:dyDescent="0.25">
      <c r="A150" s="261">
        <v>1004290</v>
      </c>
      <c r="B150" s="261" t="s">
        <v>325</v>
      </c>
      <c r="C150" s="261">
        <v>0</v>
      </c>
    </row>
    <row r="151" spans="1:3" s="261" customFormat="1" x14ac:dyDescent="0.25">
      <c r="A151" s="261">
        <v>1004300</v>
      </c>
      <c r="B151" s="261" t="s">
        <v>326</v>
      </c>
      <c r="C151" s="261">
        <v>3</v>
      </c>
    </row>
    <row r="152" spans="1:3" s="261" customFormat="1" x14ac:dyDescent="0.25">
      <c r="A152" s="261">
        <v>1004320</v>
      </c>
      <c r="B152" s="261" t="s">
        <v>327</v>
      </c>
      <c r="C152" s="261">
        <v>5.95</v>
      </c>
    </row>
    <row r="153" spans="1:3" s="261" customFormat="1" x14ac:dyDescent="0.25">
      <c r="A153" s="261">
        <v>1004330</v>
      </c>
      <c r="B153" s="261" t="s">
        <v>328</v>
      </c>
      <c r="C153" s="261">
        <v>0</v>
      </c>
    </row>
    <row r="154" spans="1:3" s="261" customFormat="1" x14ac:dyDescent="0.25">
      <c r="A154" s="261">
        <v>1004340</v>
      </c>
      <c r="B154" s="261" t="s">
        <v>329</v>
      </c>
      <c r="C154" s="261">
        <v>12.35</v>
      </c>
    </row>
    <row r="155" spans="1:3" s="261" customFormat="1" x14ac:dyDescent="0.25">
      <c r="A155" s="261">
        <v>1004350</v>
      </c>
      <c r="B155" s="261" t="s">
        <v>330</v>
      </c>
      <c r="C155" s="261">
        <v>12.75</v>
      </c>
    </row>
    <row r="156" spans="1:3" s="261" customFormat="1" x14ac:dyDescent="0.25">
      <c r="A156" s="261">
        <v>1004360</v>
      </c>
      <c r="B156" s="261" t="s">
        <v>331</v>
      </c>
      <c r="C156" s="261">
        <v>10.15</v>
      </c>
    </row>
    <row r="157" spans="1:3" s="261" customFormat="1" x14ac:dyDescent="0.25">
      <c r="A157" s="261">
        <v>1004400</v>
      </c>
      <c r="B157" s="261" t="s">
        <v>332</v>
      </c>
      <c r="C157" s="261">
        <v>2.95</v>
      </c>
    </row>
    <row r="158" spans="1:3" s="261" customFormat="1" x14ac:dyDescent="0.25">
      <c r="A158" s="261">
        <v>1004410</v>
      </c>
      <c r="B158" s="261" t="s">
        <v>333</v>
      </c>
      <c r="C158" s="261">
        <v>13.95</v>
      </c>
    </row>
    <row r="159" spans="1:3" s="261" customFormat="1" x14ac:dyDescent="0.25">
      <c r="A159" s="261">
        <v>1004420</v>
      </c>
      <c r="B159" s="261" t="s">
        <v>334</v>
      </c>
      <c r="C159" s="261">
        <v>13.95</v>
      </c>
    </row>
    <row r="160" spans="1:3" s="261" customFormat="1" x14ac:dyDescent="0.25">
      <c r="A160" s="261">
        <v>1004430</v>
      </c>
      <c r="B160" s="261" t="s">
        <v>335</v>
      </c>
      <c r="C160" s="261">
        <v>13.95</v>
      </c>
    </row>
    <row r="161" spans="1:3" s="261" customFormat="1" x14ac:dyDescent="0.25">
      <c r="A161" s="261">
        <v>1004440</v>
      </c>
      <c r="B161" s="261" t="s">
        <v>336</v>
      </c>
      <c r="C161" s="261">
        <v>26.95</v>
      </c>
    </row>
    <row r="162" spans="1:3" s="261" customFormat="1" x14ac:dyDescent="0.25">
      <c r="A162" s="261">
        <v>1004471</v>
      </c>
      <c r="B162" s="261" t="s">
        <v>337</v>
      </c>
      <c r="C162" s="261">
        <v>0</v>
      </c>
    </row>
    <row r="163" spans="1:3" s="261" customFormat="1" x14ac:dyDescent="0.25">
      <c r="A163" s="261">
        <v>1004500</v>
      </c>
      <c r="B163" s="261" t="s">
        <v>338</v>
      </c>
      <c r="C163" s="261">
        <v>6.95</v>
      </c>
    </row>
    <row r="164" spans="1:3" s="261" customFormat="1" x14ac:dyDescent="0.25">
      <c r="A164" s="261">
        <v>1004571</v>
      </c>
      <c r="B164" s="261" t="s">
        <v>339</v>
      </c>
      <c r="C164" s="261">
        <v>0</v>
      </c>
    </row>
    <row r="165" spans="1:3" s="261" customFormat="1" x14ac:dyDescent="0.25">
      <c r="A165" s="261">
        <v>1004580</v>
      </c>
      <c r="B165" s="261" t="s">
        <v>340</v>
      </c>
      <c r="C165" s="261">
        <v>11.85</v>
      </c>
    </row>
    <row r="166" spans="1:3" s="261" customFormat="1" x14ac:dyDescent="0.25">
      <c r="A166" s="261">
        <v>1004590</v>
      </c>
      <c r="B166" s="261" t="s">
        <v>341</v>
      </c>
      <c r="C166" s="261">
        <v>11.85</v>
      </c>
    </row>
    <row r="167" spans="1:3" s="261" customFormat="1" x14ac:dyDescent="0.25">
      <c r="A167" s="261">
        <v>1004600</v>
      </c>
      <c r="B167" s="261" t="s">
        <v>342</v>
      </c>
      <c r="C167" s="261">
        <v>11.75</v>
      </c>
    </row>
    <row r="168" spans="1:3" s="261" customFormat="1" x14ac:dyDescent="0.25">
      <c r="A168" s="261">
        <v>1004610</v>
      </c>
      <c r="B168" s="261" t="s">
        <v>343</v>
      </c>
      <c r="C168" s="261">
        <v>11.75</v>
      </c>
    </row>
    <row r="169" spans="1:3" s="261" customFormat="1" x14ac:dyDescent="0.25">
      <c r="A169" s="261">
        <v>1004620</v>
      </c>
      <c r="B169" s="261" t="s">
        <v>344</v>
      </c>
      <c r="C169" s="261">
        <v>11.85</v>
      </c>
    </row>
    <row r="170" spans="1:3" s="261" customFormat="1" x14ac:dyDescent="0.25">
      <c r="A170" s="261">
        <v>1004710</v>
      </c>
      <c r="B170" s="261" t="s">
        <v>345</v>
      </c>
      <c r="C170" s="261">
        <v>5.95</v>
      </c>
    </row>
    <row r="171" spans="1:3" s="261" customFormat="1" x14ac:dyDescent="0.25">
      <c r="A171" s="261">
        <v>1004720</v>
      </c>
      <c r="B171" s="261" t="s">
        <v>346</v>
      </c>
      <c r="C171" s="261">
        <v>5.95</v>
      </c>
    </row>
    <row r="172" spans="1:3" s="261" customFormat="1" x14ac:dyDescent="0.25">
      <c r="A172" s="261">
        <v>1004740</v>
      </c>
      <c r="B172" s="261" t="s">
        <v>347</v>
      </c>
      <c r="C172" s="261">
        <v>0</v>
      </c>
    </row>
    <row r="173" spans="1:3" s="261" customFormat="1" x14ac:dyDescent="0.25">
      <c r="A173" s="261">
        <v>1004830</v>
      </c>
      <c r="B173" s="261" t="s">
        <v>348</v>
      </c>
      <c r="C173" s="261">
        <v>26.85</v>
      </c>
    </row>
    <row r="174" spans="1:3" s="261" customFormat="1" x14ac:dyDescent="0.25">
      <c r="A174" s="261">
        <v>1004901</v>
      </c>
      <c r="B174" s="261" t="s">
        <v>349</v>
      </c>
      <c r="C174" s="261">
        <v>0</v>
      </c>
    </row>
    <row r="175" spans="1:3" s="261" customFormat="1" x14ac:dyDescent="0.25">
      <c r="A175" s="261">
        <v>1004920</v>
      </c>
      <c r="B175" s="261" t="s">
        <v>350</v>
      </c>
      <c r="C175" s="261">
        <v>18.95</v>
      </c>
    </row>
    <row r="176" spans="1:3" s="261" customFormat="1" x14ac:dyDescent="0.25">
      <c r="A176" s="261">
        <v>1004970</v>
      </c>
      <c r="B176" s="261" t="s">
        <v>351</v>
      </c>
      <c r="C176" s="261">
        <v>5.95</v>
      </c>
    </row>
    <row r="177" spans="1:3" s="261" customFormat="1" x14ac:dyDescent="0.25">
      <c r="A177" s="261">
        <v>1005000</v>
      </c>
      <c r="B177" s="261" t="s">
        <v>352</v>
      </c>
      <c r="C177" s="261">
        <v>30.95</v>
      </c>
    </row>
    <row r="178" spans="1:3" s="261" customFormat="1" x14ac:dyDescent="0.25">
      <c r="A178" s="261">
        <v>1005010</v>
      </c>
      <c r="B178" s="261" t="s">
        <v>353</v>
      </c>
      <c r="C178" s="261">
        <v>0</v>
      </c>
    </row>
    <row r="179" spans="1:3" s="261" customFormat="1" x14ac:dyDescent="0.25">
      <c r="A179" s="261">
        <v>1005021</v>
      </c>
      <c r="B179" s="261" t="s">
        <v>354</v>
      </c>
      <c r="C179" s="261">
        <v>4</v>
      </c>
    </row>
    <row r="180" spans="1:3" s="261" customFormat="1" x14ac:dyDescent="0.25">
      <c r="A180" s="261">
        <v>1005030</v>
      </c>
      <c r="B180" s="261" t="s">
        <v>355</v>
      </c>
      <c r="C180" s="261">
        <v>4</v>
      </c>
    </row>
    <row r="181" spans="1:3" s="261" customFormat="1" x14ac:dyDescent="0.25">
      <c r="A181" s="261">
        <v>1005040</v>
      </c>
      <c r="B181" s="261" t="s">
        <v>356</v>
      </c>
      <c r="C181" s="261">
        <v>3</v>
      </c>
    </row>
    <row r="182" spans="1:3" s="261" customFormat="1" x14ac:dyDescent="0.25">
      <c r="A182" s="261">
        <v>1005050</v>
      </c>
      <c r="B182" s="261" t="s">
        <v>357</v>
      </c>
      <c r="C182" s="261">
        <v>2.5</v>
      </c>
    </row>
    <row r="183" spans="1:3" s="261" customFormat="1" x14ac:dyDescent="0.25">
      <c r="A183" s="261">
        <v>1005051</v>
      </c>
      <c r="B183" s="261" t="s">
        <v>357</v>
      </c>
      <c r="C183" s="261">
        <v>2.5</v>
      </c>
    </row>
    <row r="184" spans="1:3" s="261" customFormat="1" x14ac:dyDescent="0.25">
      <c r="A184" s="261">
        <v>1005180</v>
      </c>
      <c r="B184" s="261" t="s">
        <v>358</v>
      </c>
      <c r="C184" s="261">
        <v>1.99</v>
      </c>
    </row>
    <row r="185" spans="1:3" s="261" customFormat="1" x14ac:dyDescent="0.25">
      <c r="A185" s="261">
        <v>1005190</v>
      </c>
      <c r="B185" s="261" t="s">
        <v>359</v>
      </c>
      <c r="C185" s="261">
        <v>3.5</v>
      </c>
    </row>
    <row r="186" spans="1:3" s="261" customFormat="1" x14ac:dyDescent="0.25">
      <c r="A186" s="261">
        <v>1005201</v>
      </c>
      <c r="B186" s="261" t="s">
        <v>360</v>
      </c>
      <c r="C186" s="261">
        <v>5.03</v>
      </c>
    </row>
    <row r="187" spans="1:3" s="261" customFormat="1" x14ac:dyDescent="0.25">
      <c r="A187" s="261">
        <v>1005250</v>
      </c>
      <c r="B187" s="261" t="s">
        <v>361</v>
      </c>
      <c r="C187" s="261">
        <v>2.95</v>
      </c>
    </row>
    <row r="188" spans="1:3" s="261" customFormat="1" x14ac:dyDescent="0.25">
      <c r="A188" s="261">
        <v>1005260</v>
      </c>
      <c r="B188" s="261" t="s">
        <v>362</v>
      </c>
      <c r="C188" s="261">
        <v>2.95</v>
      </c>
    </row>
    <row r="189" spans="1:3" s="261" customFormat="1" x14ac:dyDescent="0.25">
      <c r="A189" s="261">
        <v>1005270</v>
      </c>
      <c r="B189" s="261" t="s">
        <v>363</v>
      </c>
      <c r="C189" s="261">
        <v>2.5</v>
      </c>
    </row>
    <row r="190" spans="1:3" s="261" customFormat="1" x14ac:dyDescent="0.25">
      <c r="A190" s="261">
        <v>1005280</v>
      </c>
      <c r="B190" s="261" t="s">
        <v>364</v>
      </c>
      <c r="C190" s="261">
        <v>2.5</v>
      </c>
    </row>
    <row r="191" spans="1:3" s="261" customFormat="1" x14ac:dyDescent="0.25">
      <c r="A191" s="261">
        <v>1005290</v>
      </c>
      <c r="B191" s="261" t="s">
        <v>365</v>
      </c>
      <c r="C191" s="261">
        <v>3.6</v>
      </c>
    </row>
    <row r="192" spans="1:3" s="261" customFormat="1" x14ac:dyDescent="0.25">
      <c r="A192" s="261">
        <v>1005310</v>
      </c>
      <c r="B192" s="261" t="s">
        <v>366</v>
      </c>
      <c r="C192" s="261">
        <v>0.28999999999999998</v>
      </c>
    </row>
    <row r="193" spans="1:3" s="261" customFormat="1" x14ac:dyDescent="0.25">
      <c r="A193" s="261">
        <v>1005340</v>
      </c>
      <c r="B193" s="261" t="s">
        <v>367</v>
      </c>
      <c r="C193" s="261">
        <v>0</v>
      </c>
    </row>
    <row r="194" spans="1:3" s="261" customFormat="1" x14ac:dyDescent="0.25">
      <c r="A194" s="261">
        <v>1005360</v>
      </c>
      <c r="B194" s="261" t="s">
        <v>368</v>
      </c>
      <c r="C194" s="261">
        <v>0</v>
      </c>
    </row>
    <row r="195" spans="1:3" s="261" customFormat="1" x14ac:dyDescent="0.25">
      <c r="A195" s="261">
        <v>1005390</v>
      </c>
      <c r="B195" s="261" t="s">
        <v>369</v>
      </c>
      <c r="C195" s="261">
        <v>2.5</v>
      </c>
    </row>
    <row r="196" spans="1:3" s="261" customFormat="1" x14ac:dyDescent="0.25">
      <c r="A196" s="261">
        <v>1005400</v>
      </c>
      <c r="B196" s="261" t="s">
        <v>370</v>
      </c>
      <c r="C196" s="261">
        <v>2.5</v>
      </c>
    </row>
    <row r="197" spans="1:3" s="261" customFormat="1" x14ac:dyDescent="0.25">
      <c r="A197" s="261">
        <v>1005440</v>
      </c>
      <c r="B197" s="261" t="s">
        <v>371</v>
      </c>
      <c r="C197" s="261">
        <v>2.95</v>
      </c>
    </row>
    <row r="198" spans="1:3" s="261" customFormat="1" x14ac:dyDescent="0.25">
      <c r="A198" s="261">
        <v>1005530</v>
      </c>
      <c r="B198" s="261" t="s">
        <v>372</v>
      </c>
      <c r="C198" s="261">
        <v>76.849999999999994</v>
      </c>
    </row>
    <row r="199" spans="1:3" s="261" customFormat="1" x14ac:dyDescent="0.25">
      <c r="A199" s="261">
        <v>1005550</v>
      </c>
      <c r="B199" s="261" t="s">
        <v>373</v>
      </c>
      <c r="C199" s="261">
        <v>169.59</v>
      </c>
    </row>
    <row r="200" spans="1:3" s="261" customFormat="1" x14ac:dyDescent="0.25">
      <c r="A200" s="261">
        <v>1005560</v>
      </c>
      <c r="B200" s="261" t="s">
        <v>374</v>
      </c>
      <c r="C200" s="261">
        <v>358.55</v>
      </c>
    </row>
    <row r="201" spans="1:3" s="261" customFormat="1" x14ac:dyDescent="0.25">
      <c r="A201" s="261">
        <v>1005580</v>
      </c>
      <c r="B201" s="261" t="s">
        <v>375</v>
      </c>
      <c r="C201" s="261">
        <v>2.99</v>
      </c>
    </row>
    <row r="202" spans="1:3" s="261" customFormat="1" x14ac:dyDescent="0.25">
      <c r="A202" s="261">
        <v>1005590</v>
      </c>
      <c r="B202" s="261" t="s">
        <v>376</v>
      </c>
      <c r="C202" s="261">
        <v>2.65</v>
      </c>
    </row>
    <row r="203" spans="1:3" s="261" customFormat="1" x14ac:dyDescent="0.25">
      <c r="A203" s="261">
        <v>1005600</v>
      </c>
      <c r="B203" s="261" t="s">
        <v>377</v>
      </c>
      <c r="C203" s="261">
        <v>3.17</v>
      </c>
    </row>
    <row r="204" spans="1:3" s="261" customFormat="1" x14ac:dyDescent="0.25">
      <c r="A204" s="261">
        <v>1005610</v>
      </c>
      <c r="B204" s="261" t="s">
        <v>378</v>
      </c>
      <c r="C204" s="261">
        <v>14.95</v>
      </c>
    </row>
    <row r="205" spans="1:3" s="261" customFormat="1" x14ac:dyDescent="0.25">
      <c r="A205" s="261">
        <v>1005620</v>
      </c>
      <c r="B205" s="261" t="s">
        <v>379</v>
      </c>
      <c r="C205" s="261">
        <v>109.95</v>
      </c>
    </row>
    <row r="206" spans="1:3" s="261" customFormat="1" x14ac:dyDescent="0.25">
      <c r="A206" s="261">
        <v>1005631</v>
      </c>
      <c r="B206" s="261" t="s">
        <v>380</v>
      </c>
      <c r="C206" s="261">
        <v>175.95</v>
      </c>
    </row>
    <row r="207" spans="1:3" s="261" customFormat="1" x14ac:dyDescent="0.25">
      <c r="A207" s="261">
        <v>1005641</v>
      </c>
      <c r="B207" s="261" t="s">
        <v>381</v>
      </c>
      <c r="C207" s="261">
        <v>31.75</v>
      </c>
    </row>
    <row r="208" spans="1:3" s="261" customFormat="1" x14ac:dyDescent="0.25">
      <c r="A208" s="261">
        <v>1005651</v>
      </c>
      <c r="B208" s="261" t="s">
        <v>382</v>
      </c>
      <c r="C208" s="261">
        <v>31.75</v>
      </c>
    </row>
    <row r="209" spans="1:3" s="261" customFormat="1" x14ac:dyDescent="0.25">
      <c r="A209" s="261">
        <v>1005690</v>
      </c>
      <c r="B209" s="261" t="s">
        <v>383</v>
      </c>
      <c r="C209" s="261">
        <v>3.87</v>
      </c>
    </row>
    <row r="210" spans="1:3" s="261" customFormat="1" x14ac:dyDescent="0.25">
      <c r="A210" s="261">
        <v>1005710</v>
      </c>
      <c r="B210" s="261" t="s">
        <v>384</v>
      </c>
      <c r="C210" s="261">
        <v>9.9499999999999993</v>
      </c>
    </row>
    <row r="211" spans="1:3" s="261" customFormat="1" x14ac:dyDescent="0.25">
      <c r="A211" s="261">
        <v>1005750</v>
      </c>
      <c r="B211" s="261" t="s">
        <v>385</v>
      </c>
      <c r="C211" s="261">
        <v>299</v>
      </c>
    </row>
    <row r="212" spans="1:3" s="261" customFormat="1" x14ac:dyDescent="0.25">
      <c r="A212" s="261">
        <v>1005800</v>
      </c>
      <c r="B212" s="261" t="s">
        <v>386</v>
      </c>
      <c r="C212" s="261">
        <v>24.99</v>
      </c>
    </row>
    <row r="213" spans="1:3" s="261" customFormat="1" x14ac:dyDescent="0.25">
      <c r="A213" s="261">
        <v>1005810</v>
      </c>
      <c r="B213" s="261" t="s">
        <v>387</v>
      </c>
      <c r="C213" s="261">
        <v>39.99</v>
      </c>
    </row>
    <row r="214" spans="1:3" s="261" customFormat="1" x14ac:dyDescent="0.25">
      <c r="A214" s="261">
        <v>1005820</v>
      </c>
      <c r="B214" s="261" t="s">
        <v>388</v>
      </c>
      <c r="C214" s="261">
        <v>44.99</v>
      </c>
    </row>
    <row r="215" spans="1:3" s="261" customFormat="1" x14ac:dyDescent="0.25">
      <c r="A215" s="261">
        <v>1005830</v>
      </c>
      <c r="B215" s="261" t="s">
        <v>389</v>
      </c>
      <c r="C215" s="261">
        <v>42.99</v>
      </c>
    </row>
    <row r="216" spans="1:3" s="261" customFormat="1" x14ac:dyDescent="0.25">
      <c r="A216" s="261">
        <v>1005840</v>
      </c>
      <c r="B216" s="261" t="s">
        <v>390</v>
      </c>
      <c r="C216" s="261">
        <v>54.99</v>
      </c>
    </row>
    <row r="217" spans="1:3" s="261" customFormat="1" x14ac:dyDescent="0.25">
      <c r="A217" s="261">
        <v>1005850</v>
      </c>
      <c r="B217" s="261" t="s">
        <v>391</v>
      </c>
      <c r="C217" s="261">
        <v>33.99</v>
      </c>
    </row>
    <row r="218" spans="1:3" s="261" customFormat="1" x14ac:dyDescent="0.25">
      <c r="A218" s="261">
        <v>1005860</v>
      </c>
      <c r="B218" s="261" t="s">
        <v>392</v>
      </c>
      <c r="C218" s="261">
        <v>64.95</v>
      </c>
    </row>
    <row r="219" spans="1:3" s="261" customFormat="1" x14ac:dyDescent="0.25">
      <c r="A219" s="261">
        <v>1005870</v>
      </c>
      <c r="B219" s="261" t="s">
        <v>393</v>
      </c>
      <c r="C219" s="261">
        <v>123.95</v>
      </c>
    </row>
    <row r="220" spans="1:3" s="261" customFormat="1" x14ac:dyDescent="0.25">
      <c r="A220" s="261">
        <v>1005900</v>
      </c>
      <c r="B220" s="261" t="s">
        <v>394</v>
      </c>
      <c r="C220" s="261">
        <v>122.95</v>
      </c>
    </row>
    <row r="221" spans="1:3" s="261" customFormat="1" x14ac:dyDescent="0.25">
      <c r="A221" s="261">
        <v>1005910</v>
      </c>
      <c r="B221" s="261" t="s">
        <v>395</v>
      </c>
      <c r="C221" s="261">
        <v>176.95</v>
      </c>
    </row>
    <row r="222" spans="1:3" s="261" customFormat="1" x14ac:dyDescent="0.25">
      <c r="A222" s="261">
        <v>1005920</v>
      </c>
      <c r="B222" s="261" t="s">
        <v>396</v>
      </c>
      <c r="C222" s="261">
        <v>75.95</v>
      </c>
    </row>
    <row r="223" spans="1:3" s="261" customFormat="1" x14ac:dyDescent="0.25">
      <c r="A223" s="261">
        <v>1005930</v>
      </c>
      <c r="B223" s="261" t="s">
        <v>397</v>
      </c>
      <c r="C223" s="261">
        <v>116.95</v>
      </c>
    </row>
    <row r="224" spans="1:3" s="261" customFormat="1" x14ac:dyDescent="0.25">
      <c r="A224" s="261">
        <v>1005940</v>
      </c>
      <c r="B224" s="261" t="s">
        <v>398</v>
      </c>
      <c r="C224" s="261">
        <v>229.95</v>
      </c>
    </row>
    <row r="225" spans="1:3" s="261" customFormat="1" x14ac:dyDescent="0.25">
      <c r="A225" s="261">
        <v>1005950</v>
      </c>
      <c r="B225" s="261" t="s">
        <v>399</v>
      </c>
      <c r="C225" s="261">
        <v>46.95</v>
      </c>
    </row>
    <row r="226" spans="1:3" s="261" customFormat="1" x14ac:dyDescent="0.25">
      <c r="A226" s="261">
        <v>1005960</v>
      </c>
      <c r="B226" s="261" t="s">
        <v>400</v>
      </c>
      <c r="C226" s="261">
        <v>66.95</v>
      </c>
    </row>
    <row r="227" spans="1:3" s="261" customFormat="1" x14ac:dyDescent="0.25">
      <c r="A227" s="261">
        <v>1005970</v>
      </c>
      <c r="B227" s="261" t="s">
        <v>401</v>
      </c>
      <c r="C227" s="261">
        <v>105.95</v>
      </c>
    </row>
    <row r="228" spans="1:3" s="261" customFormat="1" x14ac:dyDescent="0.25">
      <c r="A228" s="261">
        <v>1005980</v>
      </c>
      <c r="B228" s="261" t="s">
        <v>402</v>
      </c>
      <c r="C228" s="261">
        <v>152.94999999999999</v>
      </c>
    </row>
    <row r="229" spans="1:3" s="261" customFormat="1" x14ac:dyDescent="0.25">
      <c r="A229" s="261">
        <v>1006000</v>
      </c>
      <c r="B229" s="261" t="s">
        <v>403</v>
      </c>
      <c r="C229" s="261">
        <v>105.95</v>
      </c>
    </row>
    <row r="230" spans="1:3" s="261" customFormat="1" x14ac:dyDescent="0.25">
      <c r="A230" s="261">
        <v>1006010</v>
      </c>
      <c r="B230" s="261" t="s">
        <v>404</v>
      </c>
      <c r="C230" s="261">
        <v>164.95</v>
      </c>
    </row>
    <row r="231" spans="1:3" s="261" customFormat="1" x14ac:dyDescent="0.25">
      <c r="A231" s="261">
        <v>1006020</v>
      </c>
      <c r="B231" s="261" t="s">
        <v>405</v>
      </c>
      <c r="C231" s="261">
        <v>240.95</v>
      </c>
    </row>
    <row r="232" spans="1:3" s="261" customFormat="1" x14ac:dyDescent="0.25">
      <c r="A232" s="261">
        <v>1006040</v>
      </c>
      <c r="B232" s="261" t="s">
        <v>406</v>
      </c>
      <c r="C232" s="261">
        <v>19.25</v>
      </c>
    </row>
    <row r="233" spans="1:3" s="261" customFormat="1" x14ac:dyDescent="0.25">
      <c r="A233" s="261">
        <v>1006050</v>
      </c>
      <c r="B233" s="261" t="s">
        <v>407</v>
      </c>
      <c r="C233" s="261">
        <v>25.85</v>
      </c>
    </row>
    <row r="234" spans="1:3" s="261" customFormat="1" x14ac:dyDescent="0.25">
      <c r="A234" s="261">
        <v>1006080</v>
      </c>
      <c r="B234" s="261" t="s">
        <v>408</v>
      </c>
      <c r="C234" s="261">
        <v>26.55</v>
      </c>
    </row>
    <row r="235" spans="1:3" s="261" customFormat="1" x14ac:dyDescent="0.25">
      <c r="A235" s="261">
        <v>1006090</v>
      </c>
      <c r="B235" s="261" t="s">
        <v>409</v>
      </c>
      <c r="C235" s="261">
        <v>31.25</v>
      </c>
    </row>
    <row r="236" spans="1:3" s="261" customFormat="1" x14ac:dyDescent="0.25">
      <c r="A236" s="261">
        <v>1006100</v>
      </c>
      <c r="B236" s="261" t="s">
        <v>410</v>
      </c>
      <c r="C236" s="261">
        <v>19.75</v>
      </c>
    </row>
    <row r="237" spans="1:3" s="261" customFormat="1" x14ac:dyDescent="0.25">
      <c r="A237" s="261">
        <v>1006110</v>
      </c>
      <c r="B237" s="261" t="s">
        <v>411</v>
      </c>
      <c r="C237" s="261">
        <v>21.95</v>
      </c>
    </row>
    <row r="238" spans="1:3" s="261" customFormat="1" x14ac:dyDescent="0.25">
      <c r="A238" s="261">
        <v>1006120</v>
      </c>
      <c r="B238" s="261" t="s">
        <v>412</v>
      </c>
      <c r="C238" s="261">
        <v>29.8</v>
      </c>
    </row>
    <row r="239" spans="1:3" s="261" customFormat="1" x14ac:dyDescent="0.25">
      <c r="A239" s="261">
        <v>1006130</v>
      </c>
      <c r="B239" s="261" t="s">
        <v>413</v>
      </c>
      <c r="C239" s="261">
        <v>14.95</v>
      </c>
    </row>
    <row r="240" spans="1:3" s="261" customFormat="1" x14ac:dyDescent="0.25">
      <c r="A240" s="261">
        <v>1006140</v>
      </c>
      <c r="B240" s="261" t="s">
        <v>414</v>
      </c>
      <c r="C240" s="261">
        <v>17.75</v>
      </c>
    </row>
    <row r="241" spans="1:3" s="261" customFormat="1" x14ac:dyDescent="0.25">
      <c r="A241" s="261">
        <v>1006150</v>
      </c>
      <c r="B241" s="261" t="s">
        <v>415</v>
      </c>
      <c r="C241" s="261">
        <v>22.9</v>
      </c>
    </row>
    <row r="242" spans="1:3" s="261" customFormat="1" x14ac:dyDescent="0.25">
      <c r="A242" s="261">
        <v>1006160</v>
      </c>
      <c r="B242" s="261" t="s">
        <v>416</v>
      </c>
      <c r="C242" s="261">
        <v>25.9</v>
      </c>
    </row>
    <row r="243" spans="1:3" s="261" customFormat="1" x14ac:dyDescent="0.25">
      <c r="A243" s="261">
        <v>1006170</v>
      </c>
      <c r="B243" s="261" t="s">
        <v>417</v>
      </c>
      <c r="C243" s="261">
        <v>22.9</v>
      </c>
    </row>
    <row r="244" spans="1:3" s="261" customFormat="1" x14ac:dyDescent="0.25">
      <c r="A244" s="261">
        <v>1006180</v>
      </c>
      <c r="B244" s="261" t="s">
        <v>418</v>
      </c>
      <c r="C244" s="261">
        <v>25.9</v>
      </c>
    </row>
    <row r="245" spans="1:3" s="261" customFormat="1" x14ac:dyDescent="0.25">
      <c r="A245" s="261">
        <v>1006190</v>
      </c>
      <c r="B245" s="261" t="s">
        <v>419</v>
      </c>
      <c r="C245" s="261">
        <v>29.8</v>
      </c>
    </row>
    <row r="246" spans="1:3" s="261" customFormat="1" x14ac:dyDescent="0.25">
      <c r="A246" s="261">
        <v>1006200</v>
      </c>
      <c r="B246" s="261" t="s">
        <v>420</v>
      </c>
      <c r="C246" s="261">
        <v>22.95</v>
      </c>
    </row>
    <row r="247" spans="1:3" s="261" customFormat="1" x14ac:dyDescent="0.25">
      <c r="A247" s="261">
        <v>1006210</v>
      </c>
      <c r="B247" s="261" t="s">
        <v>421</v>
      </c>
      <c r="C247" s="261">
        <v>0.37</v>
      </c>
    </row>
    <row r="248" spans="1:3" s="261" customFormat="1" x14ac:dyDescent="0.25">
      <c r="A248" s="261">
        <v>1006231</v>
      </c>
      <c r="B248" s="261" t="s">
        <v>422</v>
      </c>
      <c r="C248" s="261">
        <v>18.95</v>
      </c>
    </row>
    <row r="249" spans="1:3" s="261" customFormat="1" x14ac:dyDescent="0.25">
      <c r="A249" s="261">
        <v>1006240</v>
      </c>
      <c r="B249" s="261" t="s">
        <v>423</v>
      </c>
      <c r="C249" s="261">
        <v>500</v>
      </c>
    </row>
    <row r="250" spans="1:3" s="261" customFormat="1" x14ac:dyDescent="0.25">
      <c r="A250" s="261">
        <v>1006250</v>
      </c>
      <c r="B250" s="261" t="s">
        <v>424</v>
      </c>
      <c r="C250" s="261">
        <v>124</v>
      </c>
    </row>
    <row r="251" spans="1:3" s="261" customFormat="1" x14ac:dyDescent="0.25">
      <c r="A251" s="261">
        <v>1006260</v>
      </c>
      <c r="B251" s="261" t="s">
        <v>425</v>
      </c>
      <c r="C251" s="261">
        <v>149</v>
      </c>
    </row>
    <row r="252" spans="1:3" s="261" customFormat="1" x14ac:dyDescent="0.25">
      <c r="A252" s="261">
        <v>1006280</v>
      </c>
      <c r="B252" s="261" t="s">
        <v>426</v>
      </c>
      <c r="C252" s="261">
        <v>0</v>
      </c>
    </row>
    <row r="253" spans="1:3" s="261" customFormat="1" x14ac:dyDescent="0.25">
      <c r="A253" s="261">
        <v>1006282</v>
      </c>
      <c r="B253" s="261" t="s">
        <v>426</v>
      </c>
      <c r="C253" s="261">
        <v>18.95</v>
      </c>
    </row>
    <row r="254" spans="1:3" s="261" customFormat="1" x14ac:dyDescent="0.25">
      <c r="A254" s="261">
        <v>1006410</v>
      </c>
      <c r="B254" s="261" t="s">
        <v>427</v>
      </c>
      <c r="C254" s="261">
        <v>1.95</v>
      </c>
    </row>
    <row r="255" spans="1:3" s="261" customFormat="1" x14ac:dyDescent="0.25">
      <c r="A255" s="261">
        <v>1006481</v>
      </c>
      <c r="B255" s="261" t="s">
        <v>429</v>
      </c>
      <c r="C255" s="261">
        <v>0</v>
      </c>
    </row>
    <row r="256" spans="1:3" s="261" customFormat="1" x14ac:dyDescent="0.25">
      <c r="A256" s="261">
        <v>1006511</v>
      </c>
      <c r="B256" s="261" t="s">
        <v>430</v>
      </c>
      <c r="C256" s="261">
        <v>0</v>
      </c>
    </row>
    <row r="257" spans="1:3" s="261" customFormat="1" x14ac:dyDescent="0.25">
      <c r="A257" s="261">
        <v>1006551</v>
      </c>
      <c r="B257" s="261" t="s">
        <v>431</v>
      </c>
      <c r="C257" s="261">
        <v>1959</v>
      </c>
    </row>
    <row r="258" spans="1:3" s="261" customFormat="1" x14ac:dyDescent="0.25">
      <c r="A258" s="261">
        <v>1006561</v>
      </c>
      <c r="B258" s="261" t="s">
        <v>432</v>
      </c>
      <c r="C258" s="261">
        <v>2159</v>
      </c>
    </row>
    <row r="259" spans="1:3" s="261" customFormat="1" x14ac:dyDescent="0.25">
      <c r="A259" s="261">
        <v>1006611</v>
      </c>
      <c r="B259" s="261" t="s">
        <v>433</v>
      </c>
      <c r="C259" s="261">
        <v>1079</v>
      </c>
    </row>
    <row r="260" spans="1:3" s="261" customFormat="1" x14ac:dyDescent="0.25">
      <c r="A260" s="261">
        <v>1006640</v>
      </c>
      <c r="B260" s="261" t="s">
        <v>434</v>
      </c>
      <c r="C260" s="261">
        <v>124</v>
      </c>
    </row>
    <row r="261" spans="1:3" s="261" customFormat="1" x14ac:dyDescent="0.25">
      <c r="A261" s="261">
        <v>1006650</v>
      </c>
      <c r="B261" s="261" t="s">
        <v>435</v>
      </c>
      <c r="C261" s="261">
        <v>124</v>
      </c>
    </row>
    <row r="262" spans="1:3" s="261" customFormat="1" x14ac:dyDescent="0.25">
      <c r="A262" s="261">
        <v>1006660</v>
      </c>
      <c r="B262" s="261" t="s">
        <v>436</v>
      </c>
      <c r="C262" s="261">
        <v>124</v>
      </c>
    </row>
    <row r="263" spans="1:3" s="261" customFormat="1" x14ac:dyDescent="0.25">
      <c r="A263" s="261">
        <v>1007010</v>
      </c>
      <c r="B263" s="261" t="s">
        <v>437</v>
      </c>
      <c r="C263" s="261">
        <v>3.45</v>
      </c>
    </row>
    <row r="264" spans="1:3" s="261" customFormat="1" x14ac:dyDescent="0.25">
      <c r="A264" s="261">
        <v>1007320</v>
      </c>
      <c r="B264" s="261" t="s">
        <v>438</v>
      </c>
      <c r="C264" s="261">
        <v>0</v>
      </c>
    </row>
    <row r="265" spans="1:3" s="261" customFormat="1" x14ac:dyDescent="0.25">
      <c r="A265" s="261">
        <v>1007550</v>
      </c>
      <c r="B265" s="261" t="s">
        <v>439</v>
      </c>
      <c r="C265" s="261">
        <v>0</v>
      </c>
    </row>
    <row r="266" spans="1:3" s="261" customFormat="1" x14ac:dyDescent="0.25">
      <c r="A266" s="261">
        <v>1007600</v>
      </c>
      <c r="B266" s="261" t="s">
        <v>440</v>
      </c>
      <c r="C266" s="261">
        <v>30.5</v>
      </c>
    </row>
    <row r="267" spans="1:3" s="261" customFormat="1" x14ac:dyDescent="0.25">
      <c r="A267" s="261">
        <v>1007670</v>
      </c>
      <c r="B267" s="261" t="s">
        <v>441</v>
      </c>
      <c r="C267" s="261">
        <v>45.99</v>
      </c>
    </row>
    <row r="268" spans="1:3" s="261" customFormat="1" x14ac:dyDescent="0.25">
      <c r="A268" s="261">
        <v>1007700</v>
      </c>
      <c r="B268" s="261" t="s">
        <v>442</v>
      </c>
      <c r="C268" s="261">
        <v>15.99</v>
      </c>
    </row>
    <row r="269" spans="1:3" s="261" customFormat="1" x14ac:dyDescent="0.25">
      <c r="A269" s="261">
        <v>1007760</v>
      </c>
      <c r="B269" s="261" t="s">
        <v>443</v>
      </c>
      <c r="C269" s="261">
        <v>85</v>
      </c>
    </row>
    <row r="270" spans="1:3" s="261" customFormat="1" x14ac:dyDescent="0.25">
      <c r="A270" s="261">
        <v>1007761</v>
      </c>
      <c r="B270" s="261" t="s">
        <v>443</v>
      </c>
      <c r="C270" s="261">
        <v>95</v>
      </c>
    </row>
    <row r="271" spans="1:3" s="261" customFormat="1" x14ac:dyDescent="0.25">
      <c r="A271" s="261">
        <v>1007790</v>
      </c>
      <c r="B271" s="261" t="s">
        <v>444</v>
      </c>
      <c r="C271" s="261">
        <v>240</v>
      </c>
    </row>
    <row r="272" spans="1:3" s="261" customFormat="1" x14ac:dyDescent="0.25">
      <c r="A272" s="261">
        <v>1007930</v>
      </c>
      <c r="B272" s="261" t="s">
        <v>445</v>
      </c>
      <c r="C272" s="261">
        <v>1854</v>
      </c>
    </row>
    <row r="273" spans="1:3" s="261" customFormat="1" x14ac:dyDescent="0.25">
      <c r="A273" s="261">
        <v>1008010</v>
      </c>
      <c r="B273" s="261" t="s">
        <v>446</v>
      </c>
      <c r="C273" s="261">
        <v>8.99</v>
      </c>
    </row>
    <row r="274" spans="1:3" s="261" customFormat="1" x14ac:dyDescent="0.25">
      <c r="A274" s="261">
        <v>1008040</v>
      </c>
      <c r="B274" s="261" t="s">
        <v>447</v>
      </c>
      <c r="C274" s="261">
        <v>10.99</v>
      </c>
    </row>
    <row r="275" spans="1:3" s="261" customFormat="1" x14ac:dyDescent="0.25">
      <c r="A275" s="261">
        <v>1008190</v>
      </c>
      <c r="B275" s="261" t="s">
        <v>448</v>
      </c>
      <c r="C275" s="261">
        <v>1410</v>
      </c>
    </row>
    <row r="276" spans="1:3" s="261" customFormat="1" x14ac:dyDescent="0.25">
      <c r="A276" s="261">
        <v>1008280</v>
      </c>
      <c r="B276" s="261" t="s">
        <v>449</v>
      </c>
      <c r="C276" s="261">
        <v>269</v>
      </c>
    </row>
    <row r="277" spans="1:3" s="261" customFormat="1" x14ac:dyDescent="0.25">
      <c r="A277" s="261">
        <v>1008281</v>
      </c>
      <c r="B277" s="261" t="s">
        <v>450</v>
      </c>
      <c r="C277" s="261">
        <v>264.75</v>
      </c>
    </row>
    <row r="278" spans="1:3" s="261" customFormat="1" x14ac:dyDescent="0.25">
      <c r="A278" s="261">
        <v>1008410</v>
      </c>
      <c r="B278" s="261" t="s">
        <v>451</v>
      </c>
      <c r="C278" s="261">
        <v>197</v>
      </c>
    </row>
    <row r="279" spans="1:3" s="261" customFormat="1" x14ac:dyDescent="0.25">
      <c r="A279" s="261">
        <v>1008411</v>
      </c>
      <c r="B279" s="261" t="s">
        <v>452</v>
      </c>
      <c r="C279" s="261">
        <v>189.75</v>
      </c>
    </row>
    <row r="280" spans="1:3" s="261" customFormat="1" x14ac:dyDescent="0.25">
      <c r="A280" s="261">
        <v>1008420</v>
      </c>
      <c r="B280" s="261" t="s">
        <v>453</v>
      </c>
      <c r="C280" s="261">
        <v>749</v>
      </c>
    </row>
    <row r="281" spans="1:3" s="261" customFormat="1" x14ac:dyDescent="0.25">
      <c r="A281" s="261">
        <v>1008421</v>
      </c>
      <c r="B281" s="261" t="s">
        <v>454</v>
      </c>
      <c r="C281" s="261">
        <v>759</v>
      </c>
    </row>
    <row r="282" spans="1:3" s="261" customFormat="1" x14ac:dyDescent="0.25">
      <c r="A282" s="261">
        <v>1008440</v>
      </c>
      <c r="B282" s="261" t="s">
        <v>455</v>
      </c>
      <c r="C282" s="261">
        <v>248</v>
      </c>
    </row>
    <row r="283" spans="1:3" s="261" customFormat="1" x14ac:dyDescent="0.25">
      <c r="A283" s="261">
        <v>1008441</v>
      </c>
      <c r="B283" s="261" t="s">
        <v>456</v>
      </c>
      <c r="C283" s="261">
        <v>244.75</v>
      </c>
    </row>
    <row r="284" spans="1:3" s="261" customFormat="1" x14ac:dyDescent="0.25">
      <c r="A284" s="261">
        <v>1008450</v>
      </c>
      <c r="B284" s="261" t="s">
        <v>457</v>
      </c>
      <c r="C284" s="261">
        <v>959</v>
      </c>
    </row>
    <row r="285" spans="1:3" s="261" customFormat="1" x14ac:dyDescent="0.25">
      <c r="A285" s="261">
        <v>1008451</v>
      </c>
      <c r="B285" s="261" t="s">
        <v>458</v>
      </c>
      <c r="C285" s="261">
        <v>979</v>
      </c>
    </row>
    <row r="286" spans="1:3" s="261" customFormat="1" x14ac:dyDescent="0.25">
      <c r="A286" s="261">
        <v>1008470</v>
      </c>
      <c r="B286" s="261" t="s">
        <v>459</v>
      </c>
      <c r="C286" s="261">
        <v>1034</v>
      </c>
    </row>
    <row r="287" spans="1:3" s="261" customFormat="1" x14ac:dyDescent="0.25">
      <c r="A287" s="261">
        <v>1008471</v>
      </c>
      <c r="B287" s="261" t="s">
        <v>460</v>
      </c>
      <c r="C287" s="261">
        <v>1059</v>
      </c>
    </row>
    <row r="288" spans="1:3" s="261" customFormat="1" x14ac:dyDescent="0.25">
      <c r="A288" s="261">
        <v>1008490</v>
      </c>
      <c r="B288" s="261" t="s">
        <v>461</v>
      </c>
      <c r="C288" s="261">
        <v>319</v>
      </c>
    </row>
    <row r="289" spans="1:3" s="261" customFormat="1" x14ac:dyDescent="0.25">
      <c r="A289" s="261">
        <v>1008491</v>
      </c>
      <c r="B289" s="261" t="s">
        <v>462</v>
      </c>
      <c r="C289" s="261">
        <v>314.75</v>
      </c>
    </row>
    <row r="290" spans="1:3" s="261" customFormat="1" x14ac:dyDescent="0.25">
      <c r="A290" s="261">
        <v>1008500</v>
      </c>
      <c r="B290" s="261" t="s">
        <v>463</v>
      </c>
      <c r="C290" s="261">
        <v>1239</v>
      </c>
    </row>
    <row r="291" spans="1:3" s="261" customFormat="1" x14ac:dyDescent="0.25">
      <c r="A291" s="261">
        <v>1008501</v>
      </c>
      <c r="B291" s="261" t="s">
        <v>464</v>
      </c>
      <c r="C291" s="261">
        <v>1259</v>
      </c>
    </row>
    <row r="292" spans="1:3" s="261" customFormat="1" x14ac:dyDescent="0.25">
      <c r="A292" s="261">
        <v>1008520</v>
      </c>
      <c r="B292" s="261" t="s">
        <v>465</v>
      </c>
      <c r="C292" s="261">
        <v>279</v>
      </c>
    </row>
    <row r="293" spans="1:3" s="261" customFormat="1" x14ac:dyDescent="0.25">
      <c r="A293" s="261">
        <v>1008530</v>
      </c>
      <c r="B293" s="261" t="s">
        <v>466</v>
      </c>
      <c r="C293" s="261">
        <v>1089</v>
      </c>
    </row>
    <row r="294" spans="1:3" s="261" customFormat="1" x14ac:dyDescent="0.25">
      <c r="A294" s="261">
        <v>1008550</v>
      </c>
      <c r="B294" s="261" t="s">
        <v>467</v>
      </c>
      <c r="C294" s="261">
        <v>439</v>
      </c>
    </row>
    <row r="295" spans="1:3" s="261" customFormat="1" x14ac:dyDescent="0.25">
      <c r="A295" s="261">
        <v>1008551</v>
      </c>
      <c r="B295" s="261" t="s">
        <v>468</v>
      </c>
      <c r="C295" s="261">
        <v>505</v>
      </c>
    </row>
    <row r="296" spans="1:3" s="261" customFormat="1" x14ac:dyDescent="0.25">
      <c r="A296" s="261">
        <v>1008560</v>
      </c>
      <c r="B296" s="261" t="s">
        <v>469</v>
      </c>
      <c r="C296" s="261">
        <v>1699</v>
      </c>
    </row>
    <row r="297" spans="1:3" s="261" customFormat="1" x14ac:dyDescent="0.25">
      <c r="A297" s="261">
        <v>1008561</v>
      </c>
      <c r="B297" s="261" t="s">
        <v>470</v>
      </c>
      <c r="C297" s="261">
        <v>1969</v>
      </c>
    </row>
    <row r="298" spans="1:3" s="261" customFormat="1" x14ac:dyDescent="0.25">
      <c r="A298" s="261">
        <v>1008590</v>
      </c>
      <c r="B298" s="261" t="s">
        <v>471</v>
      </c>
      <c r="C298" s="261">
        <v>24.72</v>
      </c>
    </row>
    <row r="299" spans="1:3" s="261" customFormat="1" x14ac:dyDescent="0.25">
      <c r="A299" s="261">
        <v>1008631</v>
      </c>
      <c r="B299" s="261" t="s">
        <v>472</v>
      </c>
      <c r="C299" s="261">
        <v>1969</v>
      </c>
    </row>
    <row r="300" spans="1:3" s="261" customFormat="1" x14ac:dyDescent="0.25">
      <c r="A300" s="261">
        <v>1008640</v>
      </c>
      <c r="B300" s="261" t="s">
        <v>473</v>
      </c>
      <c r="C300" s="261">
        <v>290</v>
      </c>
    </row>
    <row r="301" spans="1:3" s="261" customFormat="1" x14ac:dyDescent="0.25">
      <c r="A301" s="261">
        <v>1008670</v>
      </c>
      <c r="B301" s="261" t="s">
        <v>474</v>
      </c>
      <c r="C301" s="261">
        <v>1239</v>
      </c>
    </row>
    <row r="302" spans="1:3" s="261" customFormat="1" x14ac:dyDescent="0.25">
      <c r="A302" s="261">
        <v>1008671</v>
      </c>
      <c r="B302" s="261" t="s">
        <v>475</v>
      </c>
      <c r="C302" s="261">
        <v>1259</v>
      </c>
    </row>
    <row r="303" spans="1:3" s="261" customFormat="1" x14ac:dyDescent="0.25">
      <c r="A303" s="261">
        <v>1008680</v>
      </c>
      <c r="B303" s="261" t="s">
        <v>476</v>
      </c>
      <c r="C303" s="261">
        <v>1034</v>
      </c>
    </row>
    <row r="304" spans="1:3" s="261" customFormat="1" x14ac:dyDescent="0.25">
      <c r="A304" s="261">
        <v>1008681</v>
      </c>
      <c r="B304" s="261" t="s">
        <v>477</v>
      </c>
      <c r="C304" s="261">
        <v>1059</v>
      </c>
    </row>
    <row r="305" spans="1:3" s="261" customFormat="1" x14ac:dyDescent="0.25">
      <c r="A305" s="261">
        <v>1008690</v>
      </c>
      <c r="B305" s="261" t="s">
        <v>478</v>
      </c>
      <c r="C305" s="261">
        <v>959</v>
      </c>
    </row>
    <row r="306" spans="1:3" s="261" customFormat="1" x14ac:dyDescent="0.25">
      <c r="A306" s="261">
        <v>1008691</v>
      </c>
      <c r="B306" s="261" t="s">
        <v>479</v>
      </c>
      <c r="C306" s="261">
        <v>979</v>
      </c>
    </row>
    <row r="307" spans="1:3" s="261" customFormat="1" x14ac:dyDescent="0.25">
      <c r="A307" s="261">
        <v>1008700</v>
      </c>
      <c r="B307" s="261" t="s">
        <v>480</v>
      </c>
      <c r="C307" s="261">
        <v>749</v>
      </c>
    </row>
    <row r="308" spans="1:3" s="261" customFormat="1" x14ac:dyDescent="0.25">
      <c r="A308" s="261">
        <v>1008701</v>
      </c>
      <c r="B308" s="261" t="s">
        <v>481</v>
      </c>
      <c r="C308" s="261">
        <v>759</v>
      </c>
    </row>
    <row r="309" spans="1:3" s="261" customFormat="1" x14ac:dyDescent="0.25">
      <c r="A309" s="261">
        <v>1008710</v>
      </c>
      <c r="B309" s="261" t="s">
        <v>482</v>
      </c>
      <c r="C309" s="261">
        <v>0</v>
      </c>
    </row>
    <row r="310" spans="1:3" s="261" customFormat="1" x14ac:dyDescent="0.25">
      <c r="A310" s="261">
        <v>1008720</v>
      </c>
      <c r="B310" s="261" t="s">
        <v>483</v>
      </c>
      <c r="C310" s="261">
        <v>0</v>
      </c>
    </row>
    <row r="311" spans="1:3" s="261" customFormat="1" x14ac:dyDescent="0.25">
      <c r="A311" s="261">
        <v>1008930</v>
      </c>
      <c r="B311" s="261" t="s">
        <v>484</v>
      </c>
      <c r="C311" s="261">
        <v>1370</v>
      </c>
    </row>
    <row r="312" spans="1:3" s="261" customFormat="1" x14ac:dyDescent="0.25">
      <c r="A312" s="261">
        <v>1009190</v>
      </c>
      <c r="B312" s="261" t="s">
        <v>485</v>
      </c>
      <c r="C312" s="261">
        <v>0</v>
      </c>
    </row>
    <row r="313" spans="1:3" s="261" customFormat="1" x14ac:dyDescent="0.25">
      <c r="A313" s="261">
        <v>1009250</v>
      </c>
      <c r="B313" s="261" t="s">
        <v>486</v>
      </c>
      <c r="C313" s="261">
        <v>0</v>
      </c>
    </row>
    <row r="314" spans="1:3" s="261" customFormat="1" x14ac:dyDescent="0.25">
      <c r="A314" s="261">
        <v>1009251</v>
      </c>
      <c r="B314" s="261" t="s">
        <v>486</v>
      </c>
      <c r="C314" s="261">
        <v>0</v>
      </c>
    </row>
    <row r="315" spans="1:3" s="261" customFormat="1" x14ac:dyDescent="0.25">
      <c r="A315" s="261">
        <v>1009330</v>
      </c>
      <c r="B315" s="261" t="s">
        <v>487</v>
      </c>
      <c r="C315" s="261">
        <v>3.67</v>
      </c>
    </row>
    <row r="316" spans="1:3" s="261" customFormat="1" x14ac:dyDescent="0.25">
      <c r="A316" s="261">
        <v>1009340</v>
      </c>
      <c r="B316" s="261" t="s">
        <v>488</v>
      </c>
      <c r="C316" s="261">
        <v>56.97</v>
      </c>
    </row>
    <row r="317" spans="1:3" s="261" customFormat="1" x14ac:dyDescent="0.25">
      <c r="A317" s="261">
        <v>1009380</v>
      </c>
      <c r="B317" s="261" t="s">
        <v>489</v>
      </c>
      <c r="C317" s="261">
        <v>359</v>
      </c>
    </row>
    <row r="318" spans="1:3" s="261" customFormat="1" x14ac:dyDescent="0.25">
      <c r="A318" s="261">
        <v>1009390</v>
      </c>
      <c r="B318" s="261" t="s">
        <v>490</v>
      </c>
      <c r="C318" s="261">
        <v>1389</v>
      </c>
    </row>
    <row r="319" spans="1:3" s="261" customFormat="1" x14ac:dyDescent="0.25">
      <c r="A319" s="261">
        <v>1009410</v>
      </c>
      <c r="B319" s="261" t="s">
        <v>491</v>
      </c>
      <c r="C319" s="261">
        <v>424</v>
      </c>
    </row>
    <row r="320" spans="1:3" s="261" customFormat="1" x14ac:dyDescent="0.25">
      <c r="A320" s="261">
        <v>1009420</v>
      </c>
      <c r="B320" s="261" t="s">
        <v>492</v>
      </c>
      <c r="C320" s="261">
        <v>1619</v>
      </c>
    </row>
    <row r="321" spans="1:3" s="261" customFormat="1" x14ac:dyDescent="0.25">
      <c r="A321" s="261">
        <v>1009440</v>
      </c>
      <c r="B321" s="261" t="s">
        <v>493</v>
      </c>
      <c r="C321" s="261">
        <v>247.5</v>
      </c>
    </row>
    <row r="322" spans="1:3" s="261" customFormat="1" x14ac:dyDescent="0.25">
      <c r="A322" s="261">
        <v>1009441</v>
      </c>
      <c r="B322" s="261" t="s">
        <v>493</v>
      </c>
      <c r="C322" s="261">
        <v>344.75</v>
      </c>
    </row>
    <row r="323" spans="1:3" s="261" customFormat="1" x14ac:dyDescent="0.25">
      <c r="A323" s="261">
        <v>1009450</v>
      </c>
      <c r="B323" s="261" t="s">
        <v>494</v>
      </c>
      <c r="C323" s="261">
        <v>990</v>
      </c>
    </row>
    <row r="324" spans="1:3" s="261" customFormat="1" x14ac:dyDescent="0.25">
      <c r="A324" s="261">
        <v>1009451</v>
      </c>
      <c r="B324" s="261" t="s">
        <v>494</v>
      </c>
      <c r="C324" s="261">
        <v>1079</v>
      </c>
    </row>
    <row r="325" spans="1:3" s="261" customFormat="1" x14ac:dyDescent="0.25">
      <c r="A325" s="261">
        <v>1009460</v>
      </c>
      <c r="B325" s="261" t="s">
        <v>495</v>
      </c>
      <c r="C325" s="261">
        <v>454</v>
      </c>
    </row>
    <row r="326" spans="1:3" s="261" customFormat="1" x14ac:dyDescent="0.25">
      <c r="A326" s="261">
        <v>1009470</v>
      </c>
      <c r="B326" s="261" t="s">
        <v>496</v>
      </c>
      <c r="C326" s="261">
        <v>1816</v>
      </c>
    </row>
    <row r="327" spans="1:3" s="261" customFormat="1" x14ac:dyDescent="0.25">
      <c r="A327" s="261">
        <v>1009480</v>
      </c>
      <c r="B327" s="261" t="s">
        <v>497</v>
      </c>
      <c r="C327" s="261">
        <v>438.75</v>
      </c>
    </row>
    <row r="328" spans="1:3" s="261" customFormat="1" x14ac:dyDescent="0.25">
      <c r="A328" s="261">
        <v>1009481</v>
      </c>
      <c r="B328" s="261" t="s">
        <v>497</v>
      </c>
      <c r="C328" s="261">
        <v>489.75</v>
      </c>
    </row>
    <row r="329" spans="1:3" s="261" customFormat="1" x14ac:dyDescent="0.25">
      <c r="A329" s="261">
        <v>1009490</v>
      </c>
      <c r="B329" s="261" t="s">
        <v>498</v>
      </c>
      <c r="C329" s="261">
        <v>1755</v>
      </c>
    </row>
    <row r="330" spans="1:3" s="261" customFormat="1" x14ac:dyDescent="0.25">
      <c r="A330" s="261">
        <v>1009491</v>
      </c>
      <c r="B330" s="261" t="s">
        <v>499</v>
      </c>
      <c r="C330" s="261">
        <v>1959</v>
      </c>
    </row>
    <row r="331" spans="1:3" s="261" customFormat="1" x14ac:dyDescent="0.25">
      <c r="A331" s="261">
        <v>1009500</v>
      </c>
      <c r="B331" s="261" t="s">
        <v>500</v>
      </c>
      <c r="C331" s="261">
        <v>430</v>
      </c>
    </row>
    <row r="332" spans="1:3" s="261" customFormat="1" x14ac:dyDescent="0.25">
      <c r="A332" s="261">
        <v>1009510</v>
      </c>
      <c r="B332" s="261" t="s">
        <v>501</v>
      </c>
      <c r="C332" s="261">
        <v>1720</v>
      </c>
    </row>
    <row r="333" spans="1:3" s="261" customFormat="1" x14ac:dyDescent="0.25">
      <c r="A333" s="261">
        <v>1009520</v>
      </c>
      <c r="B333" s="261" t="s">
        <v>502</v>
      </c>
      <c r="C333" s="261">
        <v>430</v>
      </c>
    </row>
    <row r="334" spans="1:3" s="261" customFormat="1" x14ac:dyDescent="0.25">
      <c r="A334" s="261">
        <v>1009530</v>
      </c>
      <c r="B334" s="261" t="s">
        <v>503</v>
      </c>
      <c r="C334" s="261">
        <v>1720</v>
      </c>
    </row>
    <row r="335" spans="1:3" s="261" customFormat="1" x14ac:dyDescent="0.25">
      <c r="A335" s="261">
        <v>1009540</v>
      </c>
      <c r="B335" s="261" t="s">
        <v>504</v>
      </c>
      <c r="C335" s="261">
        <v>492.5</v>
      </c>
    </row>
    <row r="336" spans="1:3" s="261" customFormat="1" x14ac:dyDescent="0.25">
      <c r="A336" s="261">
        <v>1009541</v>
      </c>
      <c r="B336" s="261" t="s">
        <v>504</v>
      </c>
      <c r="C336" s="261">
        <v>539.75</v>
      </c>
    </row>
    <row r="337" spans="1:3" s="261" customFormat="1" x14ac:dyDescent="0.25">
      <c r="A337" s="261">
        <v>1009550</v>
      </c>
      <c r="B337" s="261" t="s">
        <v>505</v>
      </c>
      <c r="C337" s="261">
        <v>1970</v>
      </c>
    </row>
    <row r="338" spans="1:3" s="261" customFormat="1" x14ac:dyDescent="0.25">
      <c r="A338" s="261">
        <v>1009551</v>
      </c>
      <c r="B338" s="261" t="s">
        <v>505</v>
      </c>
      <c r="C338" s="261">
        <v>2159</v>
      </c>
    </row>
    <row r="339" spans="1:3" s="261" customFormat="1" x14ac:dyDescent="0.25">
      <c r="A339" s="261">
        <v>1009560</v>
      </c>
      <c r="B339" s="261" t="s">
        <v>506</v>
      </c>
      <c r="C339" s="261">
        <v>493</v>
      </c>
    </row>
    <row r="340" spans="1:3" s="261" customFormat="1" x14ac:dyDescent="0.25">
      <c r="A340" s="261">
        <v>1009561</v>
      </c>
      <c r="B340" s="261" t="s">
        <v>507</v>
      </c>
      <c r="C340" s="261">
        <v>492.5</v>
      </c>
    </row>
    <row r="341" spans="1:3" s="261" customFormat="1" x14ac:dyDescent="0.25">
      <c r="A341" s="261">
        <v>1009570</v>
      </c>
      <c r="B341" s="261" t="s">
        <v>508</v>
      </c>
      <c r="C341" s="261">
        <v>1970</v>
      </c>
    </row>
    <row r="342" spans="1:3" s="261" customFormat="1" x14ac:dyDescent="0.25">
      <c r="A342" s="261">
        <v>1009571</v>
      </c>
      <c r="B342" s="261" t="s">
        <v>509</v>
      </c>
      <c r="C342" s="261">
        <v>1970</v>
      </c>
    </row>
    <row r="343" spans="1:3" s="261" customFormat="1" x14ac:dyDescent="0.25">
      <c r="A343" s="261">
        <v>1009580</v>
      </c>
      <c r="B343" s="261" t="s">
        <v>510</v>
      </c>
      <c r="C343" s="261">
        <v>990</v>
      </c>
    </row>
    <row r="344" spans="1:3" s="261" customFormat="1" x14ac:dyDescent="0.25">
      <c r="A344" s="261">
        <v>1009581</v>
      </c>
      <c r="B344" s="261" t="s">
        <v>510</v>
      </c>
      <c r="C344" s="261">
        <v>1079</v>
      </c>
    </row>
    <row r="345" spans="1:3" s="261" customFormat="1" x14ac:dyDescent="0.25">
      <c r="A345" s="261">
        <v>1009600</v>
      </c>
      <c r="B345" s="261" t="s">
        <v>511</v>
      </c>
      <c r="C345" s="261">
        <v>1755</v>
      </c>
    </row>
    <row r="346" spans="1:3" s="261" customFormat="1" x14ac:dyDescent="0.25">
      <c r="A346" s="261">
        <v>1009601</v>
      </c>
      <c r="B346" s="261" t="s">
        <v>512</v>
      </c>
      <c r="C346" s="261">
        <v>1959</v>
      </c>
    </row>
    <row r="347" spans="1:3" s="261" customFormat="1" x14ac:dyDescent="0.25">
      <c r="A347" s="261">
        <v>1009640</v>
      </c>
      <c r="B347" s="261" t="s">
        <v>513</v>
      </c>
      <c r="C347" s="261">
        <v>1970</v>
      </c>
    </row>
    <row r="348" spans="1:3" s="261" customFormat="1" x14ac:dyDescent="0.25">
      <c r="A348" s="261">
        <v>1009641</v>
      </c>
      <c r="B348" s="261" t="s">
        <v>513</v>
      </c>
      <c r="C348" s="261">
        <v>2159</v>
      </c>
    </row>
    <row r="349" spans="1:3" s="261" customFormat="1" x14ac:dyDescent="0.25">
      <c r="A349" s="261">
        <v>1009661</v>
      </c>
      <c r="B349" s="261" t="s">
        <v>514</v>
      </c>
      <c r="C349" s="261">
        <v>1970</v>
      </c>
    </row>
    <row r="350" spans="1:3" s="261" customFormat="1" x14ac:dyDescent="0.25">
      <c r="A350" s="261">
        <v>1009700</v>
      </c>
      <c r="B350" s="261" t="s">
        <v>515</v>
      </c>
      <c r="C350" s="261">
        <v>39.36</v>
      </c>
    </row>
    <row r="351" spans="1:3" s="261" customFormat="1" x14ac:dyDescent="0.25">
      <c r="A351" s="261">
        <v>1009720</v>
      </c>
      <c r="B351" s="261" t="s">
        <v>516</v>
      </c>
      <c r="C351" s="261">
        <v>336.99</v>
      </c>
    </row>
    <row r="352" spans="1:3" s="261" customFormat="1" x14ac:dyDescent="0.25">
      <c r="A352" s="261">
        <v>1009740</v>
      </c>
      <c r="B352" s="261" t="s">
        <v>517</v>
      </c>
      <c r="C352" s="261">
        <v>32.950000000000003</v>
      </c>
    </row>
    <row r="353" spans="1:3" s="261" customFormat="1" x14ac:dyDescent="0.25">
      <c r="A353" s="261">
        <v>1009750</v>
      </c>
      <c r="B353" s="261" t="s">
        <v>518</v>
      </c>
      <c r="C353" s="261">
        <v>118.98</v>
      </c>
    </row>
    <row r="354" spans="1:3" s="261" customFormat="1" x14ac:dyDescent="0.25">
      <c r="A354" s="261">
        <v>1009790</v>
      </c>
      <c r="B354" s="261" t="s">
        <v>519</v>
      </c>
      <c r="C354" s="261">
        <v>1651</v>
      </c>
    </row>
    <row r="355" spans="1:3" s="261" customFormat="1" x14ac:dyDescent="0.25">
      <c r="A355" s="261">
        <v>1009850</v>
      </c>
      <c r="B355" s="261" t="s">
        <v>520</v>
      </c>
      <c r="C355" s="261">
        <v>1</v>
      </c>
    </row>
    <row r="356" spans="1:3" s="261" customFormat="1" x14ac:dyDescent="0.25">
      <c r="A356" s="261">
        <v>1009900</v>
      </c>
      <c r="B356" s="261" t="s">
        <v>521</v>
      </c>
      <c r="C356" s="261">
        <v>139</v>
      </c>
    </row>
    <row r="357" spans="1:3" s="261" customFormat="1" x14ac:dyDescent="0.25">
      <c r="A357" s="261">
        <v>1009930</v>
      </c>
      <c r="B357" s="261" t="s">
        <v>522</v>
      </c>
      <c r="C357" s="261">
        <v>35.950000000000003</v>
      </c>
    </row>
    <row r="358" spans="1:3" s="261" customFormat="1" x14ac:dyDescent="0.25">
      <c r="A358" s="261">
        <v>1009960</v>
      </c>
      <c r="B358" s="261" t="s">
        <v>523</v>
      </c>
      <c r="C358" s="261">
        <v>95.99</v>
      </c>
    </row>
    <row r="359" spans="1:3" s="261" customFormat="1" x14ac:dyDescent="0.25">
      <c r="A359" s="261">
        <v>1009970</v>
      </c>
      <c r="B359" s="261" t="s">
        <v>524</v>
      </c>
      <c r="C359" s="261">
        <v>16.95</v>
      </c>
    </row>
    <row r="360" spans="1:3" s="261" customFormat="1" x14ac:dyDescent="0.25">
      <c r="A360" s="261">
        <v>1010010</v>
      </c>
      <c r="B360" s="261" t="s">
        <v>525</v>
      </c>
      <c r="C360" s="261">
        <v>94.99</v>
      </c>
    </row>
    <row r="361" spans="1:3" s="261" customFormat="1" x14ac:dyDescent="0.25">
      <c r="A361" s="261">
        <v>1010020</v>
      </c>
      <c r="B361" s="261" t="s">
        <v>526</v>
      </c>
      <c r="C361" s="261">
        <v>20</v>
      </c>
    </row>
    <row r="362" spans="1:3" s="261" customFormat="1" x14ac:dyDescent="0.25">
      <c r="A362" s="261">
        <v>1010080</v>
      </c>
      <c r="B362" s="261" t="s">
        <v>527</v>
      </c>
      <c r="C362" s="261">
        <v>19.989999999999998</v>
      </c>
    </row>
    <row r="363" spans="1:3" s="261" customFormat="1" x14ac:dyDescent="0.25">
      <c r="A363" s="261">
        <v>1010100</v>
      </c>
      <c r="B363" s="261" t="s">
        <v>528</v>
      </c>
      <c r="C363" s="261">
        <v>21.8</v>
      </c>
    </row>
    <row r="364" spans="1:3" s="261" customFormat="1" x14ac:dyDescent="0.25">
      <c r="A364" s="261">
        <v>1010110</v>
      </c>
      <c r="B364" s="261" t="s">
        <v>529</v>
      </c>
      <c r="C364" s="261">
        <v>23.69</v>
      </c>
    </row>
    <row r="365" spans="1:3" s="261" customFormat="1" x14ac:dyDescent="0.25">
      <c r="A365" s="261">
        <v>1010140</v>
      </c>
      <c r="B365" s="261" t="s">
        <v>530</v>
      </c>
      <c r="C365" s="261">
        <v>53.95</v>
      </c>
    </row>
    <row r="366" spans="1:3" s="261" customFormat="1" x14ac:dyDescent="0.25">
      <c r="A366" s="261">
        <v>1010160</v>
      </c>
      <c r="B366" s="261" t="s">
        <v>531</v>
      </c>
      <c r="C366" s="261">
        <v>8.99</v>
      </c>
    </row>
    <row r="367" spans="1:3" s="261" customFormat="1" x14ac:dyDescent="0.25">
      <c r="A367" s="261">
        <v>1010220</v>
      </c>
      <c r="B367" s="261" t="s">
        <v>532</v>
      </c>
      <c r="C367" s="261">
        <v>6.95</v>
      </c>
    </row>
    <row r="368" spans="1:3" s="261" customFormat="1" x14ac:dyDescent="0.25">
      <c r="A368" s="261">
        <v>1010230</v>
      </c>
      <c r="B368" s="261" t="s">
        <v>533</v>
      </c>
      <c r="C368" s="261">
        <v>38.5</v>
      </c>
    </row>
    <row r="369" spans="1:3" s="261" customFormat="1" x14ac:dyDescent="0.25">
      <c r="A369" s="261">
        <v>1010250</v>
      </c>
      <c r="B369" s="261" t="s">
        <v>534</v>
      </c>
      <c r="C369" s="261">
        <v>110</v>
      </c>
    </row>
    <row r="370" spans="1:3" s="261" customFormat="1" x14ac:dyDescent="0.25">
      <c r="A370" s="261">
        <v>1010280</v>
      </c>
      <c r="B370" s="261" t="s">
        <v>535</v>
      </c>
      <c r="C370" s="261">
        <v>149</v>
      </c>
    </row>
    <row r="371" spans="1:3" s="261" customFormat="1" x14ac:dyDescent="0.25">
      <c r="A371" s="261">
        <v>1010290</v>
      </c>
      <c r="B371" s="261" t="s">
        <v>536</v>
      </c>
      <c r="C371" s="261">
        <v>149</v>
      </c>
    </row>
    <row r="372" spans="1:3" s="261" customFormat="1" x14ac:dyDescent="0.25">
      <c r="A372" s="261">
        <v>1010320</v>
      </c>
      <c r="B372" s="261" t="s">
        <v>537</v>
      </c>
      <c r="C372" s="261">
        <v>330</v>
      </c>
    </row>
    <row r="373" spans="1:3" s="261" customFormat="1" x14ac:dyDescent="0.25">
      <c r="A373" s="261">
        <v>1010330</v>
      </c>
      <c r="B373" s="261" t="s">
        <v>538</v>
      </c>
      <c r="C373" s="261">
        <v>1320</v>
      </c>
    </row>
    <row r="374" spans="1:3" s="261" customFormat="1" x14ac:dyDescent="0.25">
      <c r="A374" s="261">
        <v>1010350</v>
      </c>
      <c r="B374" s="261" t="s">
        <v>539</v>
      </c>
      <c r="C374" s="261">
        <v>415</v>
      </c>
    </row>
    <row r="375" spans="1:3" s="261" customFormat="1" x14ac:dyDescent="0.25">
      <c r="A375" s="261">
        <v>1010360</v>
      </c>
      <c r="B375" s="261" t="s">
        <v>540</v>
      </c>
      <c r="C375" s="261">
        <v>1660</v>
      </c>
    </row>
    <row r="376" spans="1:3" s="261" customFormat="1" x14ac:dyDescent="0.25">
      <c r="A376" s="261">
        <v>1010371</v>
      </c>
      <c r="B376" s="261" t="s">
        <v>541</v>
      </c>
      <c r="C376" s="261">
        <v>0</v>
      </c>
    </row>
    <row r="377" spans="1:3" s="261" customFormat="1" x14ac:dyDescent="0.25">
      <c r="A377" s="261">
        <v>1010380</v>
      </c>
      <c r="B377" s="261" t="s">
        <v>542</v>
      </c>
      <c r="C377" s="261">
        <v>430</v>
      </c>
    </row>
    <row r="378" spans="1:3" s="261" customFormat="1" x14ac:dyDescent="0.25">
      <c r="A378" s="261">
        <v>1010390</v>
      </c>
      <c r="B378" s="261" t="s">
        <v>543</v>
      </c>
      <c r="C378" s="261">
        <v>1720</v>
      </c>
    </row>
    <row r="379" spans="1:3" s="261" customFormat="1" x14ac:dyDescent="0.25">
      <c r="A379" s="261">
        <v>1010410</v>
      </c>
      <c r="B379" s="261" t="s">
        <v>544</v>
      </c>
      <c r="C379" s="261">
        <v>114.95</v>
      </c>
    </row>
    <row r="380" spans="1:3" s="261" customFormat="1" x14ac:dyDescent="0.25">
      <c r="A380" s="261">
        <v>1010470</v>
      </c>
      <c r="B380" s="261" t="s">
        <v>545</v>
      </c>
      <c r="C380" s="261">
        <v>54.95</v>
      </c>
    </row>
    <row r="381" spans="1:3" s="261" customFormat="1" x14ac:dyDescent="0.25">
      <c r="A381" s="261">
        <v>1010510</v>
      </c>
      <c r="B381" s="261" t="s">
        <v>546</v>
      </c>
      <c r="C381" s="261">
        <v>58.99</v>
      </c>
    </row>
    <row r="382" spans="1:3" s="261" customFormat="1" x14ac:dyDescent="0.25">
      <c r="A382" s="261">
        <v>1010520</v>
      </c>
      <c r="B382" s="261" t="s">
        <v>547</v>
      </c>
      <c r="C382" s="261">
        <v>58.99</v>
      </c>
    </row>
    <row r="383" spans="1:3" s="261" customFormat="1" x14ac:dyDescent="0.25">
      <c r="A383" s="261">
        <v>1010530</v>
      </c>
      <c r="B383" s="261" t="s">
        <v>548</v>
      </c>
      <c r="C383" s="261">
        <v>82.99</v>
      </c>
    </row>
    <row r="384" spans="1:3" s="261" customFormat="1" x14ac:dyDescent="0.25">
      <c r="A384" s="261">
        <v>1010540</v>
      </c>
      <c r="B384" s="261" t="s">
        <v>549</v>
      </c>
      <c r="C384" s="261">
        <v>82.99</v>
      </c>
    </row>
    <row r="385" spans="1:3" s="261" customFormat="1" x14ac:dyDescent="0.25">
      <c r="A385" s="261">
        <v>1010550</v>
      </c>
      <c r="B385" s="261" t="s">
        <v>550</v>
      </c>
      <c r="C385" s="261">
        <v>60.99</v>
      </c>
    </row>
    <row r="386" spans="1:3" s="261" customFormat="1" x14ac:dyDescent="0.25">
      <c r="A386" s="261">
        <v>1010560</v>
      </c>
      <c r="B386" s="261" t="s">
        <v>551</v>
      </c>
      <c r="C386" s="261">
        <v>329.99</v>
      </c>
    </row>
    <row r="387" spans="1:3" s="261" customFormat="1" x14ac:dyDescent="0.25">
      <c r="A387" s="261">
        <v>1010570</v>
      </c>
      <c r="B387" s="261" t="s">
        <v>552</v>
      </c>
      <c r="C387" s="261">
        <v>329.99</v>
      </c>
    </row>
    <row r="388" spans="1:3" s="261" customFormat="1" x14ac:dyDescent="0.25">
      <c r="A388" s="261">
        <v>1010581</v>
      </c>
      <c r="B388" s="261" t="s">
        <v>553</v>
      </c>
      <c r="C388" s="261">
        <v>30.99</v>
      </c>
    </row>
    <row r="389" spans="1:3" s="261" customFormat="1" x14ac:dyDescent="0.25">
      <c r="A389" s="261">
        <v>1010591</v>
      </c>
      <c r="B389" s="261" t="s">
        <v>554</v>
      </c>
      <c r="C389" s="261">
        <v>33.99</v>
      </c>
    </row>
    <row r="390" spans="1:3" s="261" customFormat="1" x14ac:dyDescent="0.25">
      <c r="A390" s="261">
        <v>1010630</v>
      </c>
      <c r="B390" s="261" t="s">
        <v>555</v>
      </c>
      <c r="C390" s="261">
        <v>287.99</v>
      </c>
    </row>
    <row r="391" spans="1:3" s="261" customFormat="1" x14ac:dyDescent="0.25">
      <c r="A391" s="261">
        <v>1010640</v>
      </c>
      <c r="B391" s="261" t="s">
        <v>556</v>
      </c>
      <c r="C391" s="261">
        <v>482.99</v>
      </c>
    </row>
    <row r="392" spans="1:3" s="261" customFormat="1" x14ac:dyDescent="0.25">
      <c r="A392" s="261">
        <v>1010650</v>
      </c>
      <c r="B392" s="261" t="s">
        <v>557</v>
      </c>
      <c r="C392" s="261">
        <v>154.99</v>
      </c>
    </row>
    <row r="393" spans="1:3" s="261" customFormat="1" x14ac:dyDescent="0.25">
      <c r="A393" s="261">
        <v>1010730</v>
      </c>
      <c r="B393" s="261" t="s">
        <v>558</v>
      </c>
      <c r="C393" s="261">
        <v>0</v>
      </c>
    </row>
    <row r="394" spans="1:3" s="261" customFormat="1" x14ac:dyDescent="0.25">
      <c r="A394" s="261">
        <v>1010770</v>
      </c>
      <c r="B394" s="261" t="s">
        <v>559</v>
      </c>
      <c r="C394" s="261">
        <v>719</v>
      </c>
    </row>
    <row r="395" spans="1:3" s="261" customFormat="1" x14ac:dyDescent="0.25">
      <c r="A395" s="261">
        <v>1010810</v>
      </c>
      <c r="B395" s="261" t="s">
        <v>560</v>
      </c>
      <c r="C395" s="261">
        <v>312.5</v>
      </c>
    </row>
    <row r="396" spans="1:3" s="261" customFormat="1" x14ac:dyDescent="0.25">
      <c r="A396" s="261">
        <v>1010811</v>
      </c>
      <c r="B396" s="261" t="s">
        <v>560</v>
      </c>
      <c r="C396" s="261">
        <v>394.75</v>
      </c>
    </row>
    <row r="397" spans="1:3" s="261" customFormat="1" x14ac:dyDescent="0.25">
      <c r="A397" s="261">
        <v>1010820</v>
      </c>
      <c r="B397" s="261" t="s">
        <v>561</v>
      </c>
      <c r="C397" s="261">
        <v>1250</v>
      </c>
    </row>
    <row r="398" spans="1:3" s="261" customFormat="1" x14ac:dyDescent="0.25">
      <c r="A398" s="261">
        <v>1010821</v>
      </c>
      <c r="B398" s="261" t="s">
        <v>561</v>
      </c>
      <c r="C398" s="261">
        <v>1299</v>
      </c>
    </row>
    <row r="399" spans="1:3" s="261" customFormat="1" x14ac:dyDescent="0.25">
      <c r="A399" s="261">
        <v>1010830</v>
      </c>
      <c r="B399" s="261" t="s">
        <v>562</v>
      </c>
      <c r="C399" s="261">
        <v>1250</v>
      </c>
    </row>
    <row r="400" spans="1:3" s="261" customFormat="1" x14ac:dyDescent="0.25">
      <c r="A400" s="261">
        <v>1010831</v>
      </c>
      <c r="B400" s="261" t="s">
        <v>562</v>
      </c>
      <c r="C400" s="261">
        <v>1299</v>
      </c>
    </row>
    <row r="401" spans="1:3" s="261" customFormat="1" x14ac:dyDescent="0.25">
      <c r="A401" s="261">
        <v>1010850</v>
      </c>
      <c r="B401" s="261" t="s">
        <v>563</v>
      </c>
      <c r="C401" s="261">
        <v>88.99</v>
      </c>
    </row>
    <row r="402" spans="1:3" s="261" customFormat="1" x14ac:dyDescent="0.25">
      <c r="A402" s="261">
        <v>1010860</v>
      </c>
      <c r="B402" s="261" t="s">
        <v>564</v>
      </c>
      <c r="C402" s="261">
        <v>190</v>
      </c>
    </row>
    <row r="403" spans="1:3" s="261" customFormat="1" x14ac:dyDescent="0.25">
      <c r="A403" s="261">
        <v>1010900</v>
      </c>
      <c r="B403" s="261" t="s">
        <v>565</v>
      </c>
      <c r="C403" s="261">
        <v>269.99</v>
      </c>
    </row>
    <row r="404" spans="1:3" s="261" customFormat="1" x14ac:dyDescent="0.25">
      <c r="A404" s="261">
        <v>1010910</v>
      </c>
      <c r="B404" s="261" t="s">
        <v>566</v>
      </c>
      <c r="C404" s="261">
        <v>3230.99</v>
      </c>
    </row>
    <row r="405" spans="1:3" s="261" customFormat="1" x14ac:dyDescent="0.25">
      <c r="A405" s="261">
        <v>1010920</v>
      </c>
      <c r="B405" s="261" t="s">
        <v>567</v>
      </c>
      <c r="C405" s="261">
        <v>321.99</v>
      </c>
    </row>
    <row r="406" spans="1:3" s="261" customFormat="1" x14ac:dyDescent="0.25">
      <c r="A406" s="261">
        <v>1010930</v>
      </c>
      <c r="B406" s="261" t="s">
        <v>568</v>
      </c>
      <c r="C406" s="261">
        <v>14666.99</v>
      </c>
    </row>
    <row r="407" spans="1:3" s="261" customFormat="1" x14ac:dyDescent="0.25">
      <c r="A407" s="261">
        <v>1010950</v>
      </c>
      <c r="B407" s="261" t="s">
        <v>569</v>
      </c>
      <c r="C407" s="261">
        <v>15794.99</v>
      </c>
    </row>
    <row r="408" spans="1:3" s="261" customFormat="1" x14ac:dyDescent="0.25">
      <c r="A408" s="261">
        <v>1010960</v>
      </c>
      <c r="B408" s="261" t="s">
        <v>570</v>
      </c>
      <c r="C408" s="261">
        <v>17743.990000000002</v>
      </c>
    </row>
    <row r="409" spans="1:3" s="261" customFormat="1" x14ac:dyDescent="0.25">
      <c r="A409" s="261">
        <v>1010970</v>
      </c>
      <c r="B409" s="261" t="s">
        <v>571</v>
      </c>
      <c r="C409" s="261">
        <v>164.99</v>
      </c>
    </row>
    <row r="410" spans="1:3" s="261" customFormat="1" x14ac:dyDescent="0.25">
      <c r="A410" s="261">
        <v>1010980</v>
      </c>
      <c r="B410" s="261" t="s">
        <v>572</v>
      </c>
      <c r="C410" s="261">
        <v>18974.990000000002</v>
      </c>
    </row>
    <row r="411" spans="1:3" s="261" customFormat="1" x14ac:dyDescent="0.25">
      <c r="A411" s="261">
        <v>1010990</v>
      </c>
      <c r="B411" s="261" t="s">
        <v>573</v>
      </c>
      <c r="C411" s="261">
        <v>7589.99</v>
      </c>
    </row>
    <row r="412" spans="1:3" s="261" customFormat="1" x14ac:dyDescent="0.25">
      <c r="A412" s="261">
        <v>1011010</v>
      </c>
      <c r="B412" s="261" t="s">
        <v>574</v>
      </c>
      <c r="C412" s="261">
        <v>8615.99</v>
      </c>
    </row>
    <row r="413" spans="1:3" s="261" customFormat="1" x14ac:dyDescent="0.25">
      <c r="A413" s="261">
        <v>1011040</v>
      </c>
      <c r="B413" s="261" t="s">
        <v>575</v>
      </c>
      <c r="C413" s="261">
        <v>10461.99</v>
      </c>
    </row>
    <row r="414" spans="1:3" s="261" customFormat="1" x14ac:dyDescent="0.25">
      <c r="A414" s="261">
        <v>1011050</v>
      </c>
      <c r="B414" s="261" t="s">
        <v>576</v>
      </c>
      <c r="C414" s="261">
        <v>11692.99</v>
      </c>
    </row>
    <row r="415" spans="1:3" s="261" customFormat="1" x14ac:dyDescent="0.25">
      <c r="A415" s="261">
        <v>1011060</v>
      </c>
      <c r="B415" s="261" t="s">
        <v>577</v>
      </c>
      <c r="C415" s="261">
        <v>258.99</v>
      </c>
    </row>
    <row r="416" spans="1:3" s="261" customFormat="1" x14ac:dyDescent="0.25">
      <c r="A416" s="261">
        <v>1011070</v>
      </c>
      <c r="B416" s="261" t="s">
        <v>578</v>
      </c>
      <c r="C416" s="261">
        <v>306.99</v>
      </c>
    </row>
    <row r="417" spans="1:3" s="261" customFormat="1" x14ac:dyDescent="0.25">
      <c r="A417" s="261">
        <v>1011240</v>
      </c>
      <c r="B417" s="261" t="s">
        <v>579</v>
      </c>
      <c r="C417" s="261">
        <v>786.45</v>
      </c>
    </row>
    <row r="418" spans="1:3" s="261" customFormat="1" x14ac:dyDescent="0.25">
      <c r="A418" s="261">
        <v>1011250</v>
      </c>
      <c r="B418" s="261" t="s">
        <v>580</v>
      </c>
      <c r="C418" s="261">
        <v>32</v>
      </c>
    </row>
    <row r="419" spans="1:3" s="261" customFormat="1" x14ac:dyDescent="0.25">
      <c r="A419" s="261">
        <v>1011280</v>
      </c>
      <c r="B419" s="261" t="s">
        <v>581</v>
      </c>
      <c r="C419" s="261">
        <v>54.99</v>
      </c>
    </row>
    <row r="420" spans="1:3" s="261" customFormat="1" x14ac:dyDescent="0.25">
      <c r="A420" s="261">
        <v>1011410</v>
      </c>
      <c r="B420" s="261" t="s">
        <v>582</v>
      </c>
      <c r="C420" s="261">
        <v>25</v>
      </c>
    </row>
    <row r="421" spans="1:3" s="261" customFormat="1" x14ac:dyDescent="0.25">
      <c r="A421" s="261">
        <v>1011420</v>
      </c>
      <c r="B421" s="261" t="s">
        <v>583</v>
      </c>
      <c r="C421" s="261">
        <v>10.99</v>
      </c>
    </row>
    <row r="422" spans="1:3" s="261" customFormat="1" x14ac:dyDescent="0.25">
      <c r="A422" s="261">
        <v>1011510</v>
      </c>
      <c r="B422" s="261" t="s">
        <v>584</v>
      </c>
      <c r="C422" s="261">
        <v>0</v>
      </c>
    </row>
    <row r="423" spans="1:3" s="261" customFormat="1" x14ac:dyDescent="0.25">
      <c r="A423" s="261">
        <v>1011600</v>
      </c>
      <c r="B423" s="261" t="s">
        <v>585</v>
      </c>
      <c r="C423" s="261">
        <v>0</v>
      </c>
    </row>
    <row r="424" spans="1:3" s="261" customFormat="1" x14ac:dyDescent="0.25">
      <c r="A424" s="261">
        <v>1011610</v>
      </c>
      <c r="B424" s="261" t="s">
        <v>586</v>
      </c>
      <c r="C424" s="261">
        <v>0</v>
      </c>
    </row>
    <row r="425" spans="1:3" s="261" customFormat="1" x14ac:dyDescent="0.25">
      <c r="A425" s="261">
        <v>1011620</v>
      </c>
      <c r="B425" s="261" t="s">
        <v>587</v>
      </c>
      <c r="C425" s="261">
        <v>0</v>
      </c>
    </row>
    <row r="426" spans="1:3" s="261" customFormat="1" x14ac:dyDescent="0.25">
      <c r="A426" s="261">
        <v>1011630</v>
      </c>
      <c r="B426" s="261" t="s">
        <v>588</v>
      </c>
      <c r="C426" s="261">
        <v>0</v>
      </c>
    </row>
    <row r="427" spans="1:3" s="261" customFormat="1" x14ac:dyDescent="0.25">
      <c r="A427" s="261">
        <v>1011800</v>
      </c>
      <c r="B427" s="261" t="s">
        <v>589</v>
      </c>
      <c r="C427" s="261">
        <v>335.99</v>
      </c>
    </row>
    <row r="428" spans="1:3" s="261" customFormat="1" x14ac:dyDescent="0.25">
      <c r="A428" s="261">
        <v>1011810</v>
      </c>
      <c r="B428" s="261" t="s">
        <v>590</v>
      </c>
      <c r="C428" s="261">
        <v>15.99</v>
      </c>
    </row>
    <row r="429" spans="1:3" s="261" customFormat="1" x14ac:dyDescent="0.25">
      <c r="A429" s="261">
        <v>1011840</v>
      </c>
      <c r="B429" s="261" t="s">
        <v>591</v>
      </c>
      <c r="C429" s="261">
        <v>159.99</v>
      </c>
    </row>
    <row r="430" spans="1:3" s="261" customFormat="1" x14ac:dyDescent="0.25">
      <c r="A430" s="261">
        <v>1011850</v>
      </c>
      <c r="B430" s="261" t="s">
        <v>592</v>
      </c>
      <c r="C430" s="261">
        <v>107.99</v>
      </c>
    </row>
    <row r="431" spans="1:3" s="261" customFormat="1" x14ac:dyDescent="0.25">
      <c r="A431" s="261">
        <v>1011860</v>
      </c>
      <c r="B431" s="261" t="s">
        <v>593</v>
      </c>
      <c r="C431" s="261">
        <v>36.950000000000003</v>
      </c>
    </row>
    <row r="432" spans="1:3" s="261" customFormat="1" x14ac:dyDescent="0.25">
      <c r="A432" s="261">
        <v>1011870</v>
      </c>
      <c r="B432" s="261" t="s">
        <v>594</v>
      </c>
      <c r="C432" s="261">
        <v>9.1999999999999993</v>
      </c>
    </row>
    <row r="433" spans="1:3" s="261" customFormat="1" x14ac:dyDescent="0.25">
      <c r="A433" s="261">
        <v>1011890</v>
      </c>
      <c r="B433" s="261" t="s">
        <v>595</v>
      </c>
      <c r="C433" s="261">
        <v>49.99</v>
      </c>
    </row>
    <row r="434" spans="1:3" s="261" customFormat="1" x14ac:dyDescent="0.25">
      <c r="A434" s="261">
        <v>1011910</v>
      </c>
      <c r="B434" s="261" t="s">
        <v>596</v>
      </c>
      <c r="C434" s="261">
        <v>16.64</v>
      </c>
    </row>
    <row r="435" spans="1:3" s="261" customFormat="1" x14ac:dyDescent="0.25">
      <c r="A435" s="261">
        <v>1011930</v>
      </c>
      <c r="B435" s="261" t="s">
        <v>597</v>
      </c>
      <c r="C435" s="261">
        <v>34.950000000000003</v>
      </c>
    </row>
    <row r="436" spans="1:3" s="261" customFormat="1" x14ac:dyDescent="0.25">
      <c r="A436" s="261">
        <v>1011950</v>
      </c>
      <c r="B436" s="261" t="s">
        <v>598</v>
      </c>
      <c r="C436" s="261">
        <v>8.99</v>
      </c>
    </row>
    <row r="437" spans="1:3" s="261" customFormat="1" x14ac:dyDescent="0.25">
      <c r="A437" s="261">
        <v>1011980</v>
      </c>
      <c r="B437" s="261" t="s">
        <v>599</v>
      </c>
      <c r="C437" s="261">
        <v>78.989999999999995</v>
      </c>
    </row>
    <row r="438" spans="1:3" s="261" customFormat="1" x14ac:dyDescent="0.25">
      <c r="A438" s="261">
        <v>1012000</v>
      </c>
      <c r="B438" s="261" t="s">
        <v>600</v>
      </c>
      <c r="C438" s="261">
        <v>59.99</v>
      </c>
    </row>
    <row r="439" spans="1:3" s="261" customFormat="1" x14ac:dyDescent="0.25">
      <c r="A439" s="261">
        <v>1012010</v>
      </c>
      <c r="B439" s="261" t="s">
        <v>601</v>
      </c>
      <c r="C439" s="261">
        <v>11.65</v>
      </c>
    </row>
    <row r="440" spans="1:3" s="261" customFormat="1" x14ac:dyDescent="0.25">
      <c r="A440" s="261">
        <v>1012020</v>
      </c>
      <c r="B440" s="261" t="s">
        <v>602</v>
      </c>
      <c r="C440" s="261">
        <v>46.99</v>
      </c>
    </row>
    <row r="441" spans="1:3" s="261" customFormat="1" x14ac:dyDescent="0.25">
      <c r="A441" s="261">
        <v>1012030</v>
      </c>
      <c r="B441" s="261" t="s">
        <v>603</v>
      </c>
      <c r="C441" s="261">
        <v>29.8</v>
      </c>
    </row>
    <row r="442" spans="1:3" s="261" customFormat="1" x14ac:dyDescent="0.25">
      <c r="A442" s="261">
        <v>1012080</v>
      </c>
      <c r="B442" s="261" t="s">
        <v>604</v>
      </c>
      <c r="C442" s="261">
        <v>45.95</v>
      </c>
    </row>
    <row r="443" spans="1:3" s="261" customFormat="1" x14ac:dyDescent="0.25">
      <c r="A443" s="261">
        <v>1012090</v>
      </c>
      <c r="B443" s="261" t="s">
        <v>605</v>
      </c>
      <c r="C443" s="261">
        <v>45.95</v>
      </c>
    </row>
    <row r="444" spans="1:3" s="261" customFormat="1" x14ac:dyDescent="0.25">
      <c r="A444" s="261">
        <v>1012120</v>
      </c>
      <c r="B444" s="261" t="s">
        <v>606</v>
      </c>
      <c r="C444" s="261">
        <v>54.95</v>
      </c>
    </row>
    <row r="445" spans="1:3" s="261" customFormat="1" x14ac:dyDescent="0.25">
      <c r="A445" s="261">
        <v>1012150</v>
      </c>
      <c r="B445" s="261" t="s">
        <v>607</v>
      </c>
      <c r="C445" s="261">
        <v>79.989999999999995</v>
      </c>
    </row>
    <row r="446" spans="1:3" s="261" customFormat="1" x14ac:dyDescent="0.25">
      <c r="A446" s="261">
        <v>1012160</v>
      </c>
      <c r="B446" s="261" t="s">
        <v>608</v>
      </c>
      <c r="C446" s="261">
        <v>79.95</v>
      </c>
    </row>
    <row r="447" spans="1:3" s="261" customFormat="1" x14ac:dyDescent="0.25">
      <c r="A447" s="261">
        <v>1012170</v>
      </c>
      <c r="B447" s="261" t="s">
        <v>609</v>
      </c>
      <c r="C447" s="261">
        <v>49.99</v>
      </c>
    </row>
    <row r="448" spans="1:3" s="261" customFormat="1" x14ac:dyDescent="0.25">
      <c r="A448" s="261">
        <v>1012180</v>
      </c>
      <c r="B448" s="261" t="s">
        <v>610</v>
      </c>
      <c r="C448" s="261">
        <v>19.45</v>
      </c>
    </row>
    <row r="449" spans="1:3" s="261" customFormat="1" x14ac:dyDescent="0.25">
      <c r="A449" s="261">
        <v>1012230</v>
      </c>
      <c r="B449" s="261" t="s">
        <v>611</v>
      </c>
      <c r="C449" s="261">
        <v>9.99</v>
      </c>
    </row>
    <row r="450" spans="1:3" s="261" customFormat="1" x14ac:dyDescent="0.25">
      <c r="A450" s="261">
        <v>1012240</v>
      </c>
      <c r="B450" s="261" t="s">
        <v>612</v>
      </c>
      <c r="C450" s="261">
        <v>42.99</v>
      </c>
    </row>
    <row r="451" spans="1:3" s="261" customFormat="1" x14ac:dyDescent="0.25">
      <c r="A451" s="261">
        <v>1012280</v>
      </c>
      <c r="B451" s="261" t="s">
        <v>613</v>
      </c>
      <c r="C451" s="261">
        <v>16.95</v>
      </c>
    </row>
    <row r="452" spans="1:3" s="261" customFormat="1" x14ac:dyDescent="0.25">
      <c r="A452" s="261">
        <v>1012300</v>
      </c>
      <c r="B452" s="261" t="s">
        <v>614</v>
      </c>
      <c r="C452" s="261">
        <v>49.97</v>
      </c>
    </row>
    <row r="453" spans="1:3" s="261" customFormat="1" x14ac:dyDescent="0.25">
      <c r="A453" s="261">
        <v>1012310</v>
      </c>
      <c r="B453" s="261" t="s">
        <v>615</v>
      </c>
      <c r="C453" s="261">
        <v>29.95</v>
      </c>
    </row>
    <row r="454" spans="1:3" s="261" customFormat="1" x14ac:dyDescent="0.25">
      <c r="A454" s="261">
        <v>1012320</v>
      </c>
      <c r="B454" s="261" t="s">
        <v>616</v>
      </c>
      <c r="C454" s="261">
        <v>152.99</v>
      </c>
    </row>
    <row r="455" spans="1:3" s="261" customFormat="1" x14ac:dyDescent="0.25">
      <c r="A455" s="261">
        <v>1012330</v>
      </c>
      <c r="B455" s="261" t="s">
        <v>617</v>
      </c>
      <c r="C455" s="261">
        <v>84.95</v>
      </c>
    </row>
    <row r="456" spans="1:3" s="261" customFormat="1" x14ac:dyDescent="0.25">
      <c r="A456" s="261">
        <v>1012350</v>
      </c>
      <c r="B456" s="261" t="s">
        <v>618</v>
      </c>
      <c r="C456" s="261">
        <v>11.65</v>
      </c>
    </row>
    <row r="457" spans="1:3" s="261" customFormat="1" x14ac:dyDescent="0.25">
      <c r="A457" s="261">
        <v>1012370</v>
      </c>
      <c r="B457" s="261" t="s">
        <v>619</v>
      </c>
      <c r="C457" s="261">
        <v>35.99</v>
      </c>
    </row>
    <row r="458" spans="1:3" s="261" customFormat="1" x14ac:dyDescent="0.25">
      <c r="A458" s="261">
        <v>1012380</v>
      </c>
      <c r="B458" s="261" t="s">
        <v>620</v>
      </c>
      <c r="C458" s="261">
        <v>35.72</v>
      </c>
    </row>
    <row r="459" spans="1:3" s="261" customFormat="1" x14ac:dyDescent="0.25">
      <c r="A459" s="261">
        <v>1012400</v>
      </c>
      <c r="B459" s="261" t="s">
        <v>621</v>
      </c>
      <c r="C459" s="261">
        <v>42.95</v>
      </c>
    </row>
    <row r="460" spans="1:3" s="261" customFormat="1" x14ac:dyDescent="0.25">
      <c r="A460" s="261">
        <v>1012410</v>
      </c>
      <c r="B460" s="261" t="s">
        <v>622</v>
      </c>
      <c r="C460" s="261">
        <v>63.97</v>
      </c>
    </row>
    <row r="461" spans="1:3" s="261" customFormat="1" x14ac:dyDescent="0.25">
      <c r="A461" s="261">
        <v>1012500</v>
      </c>
      <c r="B461" s="261" t="s">
        <v>623</v>
      </c>
      <c r="C461" s="261">
        <v>159.99</v>
      </c>
    </row>
    <row r="462" spans="1:3" s="261" customFormat="1" x14ac:dyDescent="0.25">
      <c r="A462" s="261">
        <v>1012540</v>
      </c>
      <c r="B462" s="261" t="s">
        <v>624</v>
      </c>
      <c r="C462" s="261">
        <v>15.99</v>
      </c>
    </row>
    <row r="463" spans="1:3" s="261" customFormat="1" x14ac:dyDescent="0.25">
      <c r="A463" s="261">
        <v>1012560</v>
      </c>
      <c r="B463" s="261" t="s">
        <v>625</v>
      </c>
      <c r="C463" s="261">
        <v>74.95</v>
      </c>
    </row>
    <row r="464" spans="1:3" s="261" customFormat="1" x14ac:dyDescent="0.25">
      <c r="A464" s="261">
        <v>1012580</v>
      </c>
      <c r="B464" s="261" t="s">
        <v>626</v>
      </c>
      <c r="C464" s="261">
        <v>5.99</v>
      </c>
    </row>
    <row r="465" spans="1:3" s="261" customFormat="1" x14ac:dyDescent="0.25">
      <c r="A465" s="261">
        <v>1012610</v>
      </c>
      <c r="B465" s="261" t="s">
        <v>627</v>
      </c>
      <c r="C465" s="261">
        <v>105.99</v>
      </c>
    </row>
    <row r="466" spans="1:3" s="261" customFormat="1" x14ac:dyDescent="0.25">
      <c r="A466" s="261">
        <v>1012640</v>
      </c>
      <c r="B466" s="261" t="s">
        <v>628</v>
      </c>
      <c r="C466" s="261">
        <v>22.99</v>
      </c>
    </row>
    <row r="467" spans="1:3" s="261" customFormat="1" x14ac:dyDescent="0.25">
      <c r="A467" s="261">
        <v>1012680</v>
      </c>
      <c r="B467" s="261" t="s">
        <v>629</v>
      </c>
      <c r="C467" s="261">
        <v>725.99</v>
      </c>
    </row>
    <row r="468" spans="1:3" s="261" customFormat="1" x14ac:dyDescent="0.25">
      <c r="A468" s="261">
        <v>1012690</v>
      </c>
      <c r="B468" s="261" t="s">
        <v>630</v>
      </c>
      <c r="C468" s="261">
        <v>12.86</v>
      </c>
    </row>
    <row r="469" spans="1:3" s="261" customFormat="1" x14ac:dyDescent="0.25">
      <c r="A469" s="261">
        <v>1012700</v>
      </c>
      <c r="B469" s="261" t="s">
        <v>631</v>
      </c>
      <c r="C469" s="261">
        <v>59.99</v>
      </c>
    </row>
    <row r="470" spans="1:3" s="261" customFormat="1" x14ac:dyDescent="0.25">
      <c r="A470" s="261">
        <v>1012710</v>
      </c>
      <c r="B470" s="261" t="s">
        <v>632</v>
      </c>
      <c r="C470" s="261">
        <v>25.99</v>
      </c>
    </row>
    <row r="471" spans="1:3" s="261" customFormat="1" x14ac:dyDescent="0.25">
      <c r="A471" s="261">
        <v>1012720</v>
      </c>
      <c r="B471" s="261" t="s">
        <v>633</v>
      </c>
      <c r="C471" s="261">
        <v>49.97</v>
      </c>
    </row>
    <row r="472" spans="1:3" s="261" customFormat="1" x14ac:dyDescent="0.25">
      <c r="A472" s="261">
        <v>1012730</v>
      </c>
      <c r="B472" s="261" t="s">
        <v>634</v>
      </c>
      <c r="C472" s="261">
        <v>55.95</v>
      </c>
    </row>
    <row r="473" spans="1:3" s="261" customFormat="1" x14ac:dyDescent="0.25">
      <c r="A473" s="261">
        <v>1012770</v>
      </c>
      <c r="B473" s="261" t="s">
        <v>635</v>
      </c>
      <c r="C473" s="261">
        <v>34.99</v>
      </c>
    </row>
    <row r="474" spans="1:3" s="261" customFormat="1" x14ac:dyDescent="0.25">
      <c r="A474" s="261">
        <v>1012780</v>
      </c>
      <c r="B474" s="261" t="s">
        <v>636</v>
      </c>
      <c r="C474" s="261">
        <v>54.99</v>
      </c>
    </row>
    <row r="475" spans="1:3" s="261" customFormat="1" x14ac:dyDescent="0.25">
      <c r="A475" s="261">
        <v>1012810</v>
      </c>
      <c r="B475" s="261" t="s">
        <v>637</v>
      </c>
      <c r="C475" s="261">
        <v>54.96</v>
      </c>
    </row>
    <row r="476" spans="1:3" s="261" customFormat="1" x14ac:dyDescent="0.25">
      <c r="A476" s="261">
        <v>1012860</v>
      </c>
      <c r="B476" s="261" t="s">
        <v>638</v>
      </c>
      <c r="C476" s="261">
        <v>13.99</v>
      </c>
    </row>
    <row r="477" spans="1:3" s="261" customFormat="1" x14ac:dyDescent="0.25">
      <c r="A477" s="261">
        <v>1012880</v>
      </c>
      <c r="B477" s="261" t="s">
        <v>639</v>
      </c>
      <c r="C477" s="261">
        <v>9.99</v>
      </c>
    </row>
    <row r="478" spans="1:3" s="261" customFormat="1" x14ac:dyDescent="0.25">
      <c r="A478" s="261">
        <v>1012900</v>
      </c>
      <c r="B478" s="261" t="s">
        <v>640</v>
      </c>
      <c r="C478" s="261">
        <v>69.989999999999995</v>
      </c>
    </row>
    <row r="479" spans="1:3" s="261" customFormat="1" x14ac:dyDescent="0.25">
      <c r="A479" s="261">
        <v>1012910</v>
      </c>
      <c r="B479" s="261" t="s">
        <v>641</v>
      </c>
      <c r="C479" s="261">
        <v>39.99</v>
      </c>
    </row>
    <row r="480" spans="1:3" s="261" customFormat="1" x14ac:dyDescent="0.25">
      <c r="A480" s="261">
        <v>1012940</v>
      </c>
      <c r="B480" s="261" t="s">
        <v>642</v>
      </c>
      <c r="C480" s="261">
        <v>11.99</v>
      </c>
    </row>
    <row r="481" spans="1:3" s="261" customFormat="1" x14ac:dyDescent="0.25">
      <c r="A481" s="261">
        <v>1012950</v>
      </c>
      <c r="B481" s="261" t="s">
        <v>643</v>
      </c>
      <c r="C481" s="261">
        <v>59.99</v>
      </c>
    </row>
    <row r="482" spans="1:3" s="261" customFormat="1" x14ac:dyDescent="0.25">
      <c r="A482" s="261">
        <v>1012970</v>
      </c>
      <c r="B482" s="261" t="s">
        <v>644</v>
      </c>
      <c r="C482" s="261">
        <v>20.82</v>
      </c>
    </row>
    <row r="483" spans="1:3" s="261" customFormat="1" x14ac:dyDescent="0.25">
      <c r="A483" s="261">
        <v>1012980</v>
      </c>
      <c r="B483" s="261" t="s">
        <v>645</v>
      </c>
      <c r="C483" s="261">
        <v>11.49</v>
      </c>
    </row>
    <row r="484" spans="1:3" s="261" customFormat="1" x14ac:dyDescent="0.25">
      <c r="A484" s="261">
        <v>1013010</v>
      </c>
      <c r="B484" s="261" t="s">
        <v>646</v>
      </c>
      <c r="C484" s="261">
        <v>129.94999999999999</v>
      </c>
    </row>
    <row r="485" spans="1:3" s="261" customFormat="1" x14ac:dyDescent="0.25">
      <c r="A485" s="261">
        <v>1013020</v>
      </c>
      <c r="B485" s="261" t="s">
        <v>647</v>
      </c>
      <c r="C485" s="261">
        <v>63.99</v>
      </c>
    </row>
    <row r="486" spans="1:3" s="261" customFormat="1" x14ac:dyDescent="0.25">
      <c r="A486" s="261">
        <v>1013060</v>
      </c>
      <c r="B486" s="261" t="s">
        <v>648</v>
      </c>
      <c r="C486" s="261">
        <v>15.99</v>
      </c>
    </row>
    <row r="487" spans="1:3" s="261" customFormat="1" x14ac:dyDescent="0.25">
      <c r="A487" s="261">
        <v>1013070</v>
      </c>
      <c r="B487" s="261" t="s">
        <v>649</v>
      </c>
      <c r="C487" s="261">
        <v>15.95</v>
      </c>
    </row>
    <row r="488" spans="1:3" s="261" customFormat="1" x14ac:dyDescent="0.25">
      <c r="A488" s="261">
        <v>1013090</v>
      </c>
      <c r="B488" s="261" t="s">
        <v>650</v>
      </c>
      <c r="C488" s="261">
        <v>0</v>
      </c>
    </row>
    <row r="489" spans="1:3" s="261" customFormat="1" x14ac:dyDescent="0.25">
      <c r="A489" s="261">
        <v>1013200</v>
      </c>
      <c r="B489" s="261" t="s">
        <v>651</v>
      </c>
      <c r="C489" s="261">
        <v>25.99</v>
      </c>
    </row>
    <row r="490" spans="1:3" s="261" customFormat="1" x14ac:dyDescent="0.25">
      <c r="A490" s="261">
        <v>1013230</v>
      </c>
      <c r="B490" s="261" t="s">
        <v>652</v>
      </c>
      <c r="C490" s="261">
        <v>3.99</v>
      </c>
    </row>
    <row r="491" spans="1:3" s="261" customFormat="1" x14ac:dyDescent="0.25">
      <c r="A491" s="261">
        <v>1013240</v>
      </c>
      <c r="B491" s="261" t="s">
        <v>653</v>
      </c>
      <c r="C491" s="261">
        <v>1</v>
      </c>
    </row>
    <row r="492" spans="1:3" s="261" customFormat="1" x14ac:dyDescent="0.25">
      <c r="A492" s="261">
        <v>1013250</v>
      </c>
      <c r="B492" s="261" t="s">
        <v>654</v>
      </c>
      <c r="C492" s="261">
        <v>1</v>
      </c>
    </row>
    <row r="493" spans="1:3" s="261" customFormat="1" x14ac:dyDescent="0.25">
      <c r="A493" s="261">
        <v>1013260</v>
      </c>
      <c r="B493" s="261" t="s">
        <v>655</v>
      </c>
      <c r="C493" s="261">
        <v>1</v>
      </c>
    </row>
    <row r="494" spans="1:3" s="261" customFormat="1" x14ac:dyDescent="0.25">
      <c r="A494" s="261">
        <v>1013270</v>
      </c>
      <c r="B494" s="261" t="s">
        <v>656</v>
      </c>
      <c r="C494" s="261">
        <v>1</v>
      </c>
    </row>
    <row r="495" spans="1:3" s="261" customFormat="1" x14ac:dyDescent="0.25">
      <c r="A495" s="261">
        <v>1013280</v>
      </c>
      <c r="B495" s="261" t="s">
        <v>657</v>
      </c>
      <c r="C495" s="261">
        <v>1</v>
      </c>
    </row>
    <row r="496" spans="1:3" s="261" customFormat="1" x14ac:dyDescent="0.25">
      <c r="A496" s="261">
        <v>1013290</v>
      </c>
      <c r="B496" s="261" t="s">
        <v>658</v>
      </c>
      <c r="C496" s="261">
        <v>1</v>
      </c>
    </row>
    <row r="497" spans="1:3" s="261" customFormat="1" x14ac:dyDescent="0.25">
      <c r="A497" s="261">
        <v>1013300</v>
      </c>
      <c r="B497" s="261" t="s">
        <v>659</v>
      </c>
      <c r="C497" s="261">
        <v>1</v>
      </c>
    </row>
    <row r="498" spans="1:3" s="261" customFormat="1" x14ac:dyDescent="0.25">
      <c r="A498" s="261">
        <v>1013310</v>
      </c>
      <c r="B498" s="261" t="s">
        <v>660</v>
      </c>
      <c r="C498" s="261">
        <v>1</v>
      </c>
    </row>
    <row r="499" spans="1:3" s="261" customFormat="1" x14ac:dyDescent="0.25">
      <c r="A499" s="261">
        <v>1013320</v>
      </c>
      <c r="B499" s="261" t="s">
        <v>661</v>
      </c>
      <c r="C499" s="261">
        <v>1</v>
      </c>
    </row>
    <row r="500" spans="1:3" s="261" customFormat="1" x14ac:dyDescent="0.25">
      <c r="A500" s="261">
        <v>1013330</v>
      </c>
      <c r="B500" s="261" t="s">
        <v>662</v>
      </c>
      <c r="C500" s="261">
        <v>1</v>
      </c>
    </row>
    <row r="501" spans="1:3" s="261" customFormat="1" x14ac:dyDescent="0.25">
      <c r="A501" s="261">
        <v>1013340</v>
      </c>
      <c r="B501" s="261" t="s">
        <v>663</v>
      </c>
      <c r="C501" s="261">
        <v>1</v>
      </c>
    </row>
    <row r="502" spans="1:3" s="261" customFormat="1" x14ac:dyDescent="0.25">
      <c r="A502" s="261">
        <v>1013350</v>
      </c>
      <c r="B502" s="261" t="s">
        <v>664</v>
      </c>
      <c r="C502" s="261">
        <v>1</v>
      </c>
    </row>
    <row r="503" spans="1:3" s="261" customFormat="1" x14ac:dyDescent="0.25">
      <c r="A503" s="261">
        <v>1013360</v>
      </c>
      <c r="B503" s="261" t="s">
        <v>665</v>
      </c>
      <c r="C503" s="261">
        <v>1</v>
      </c>
    </row>
    <row r="504" spans="1:3" s="261" customFormat="1" x14ac:dyDescent="0.25">
      <c r="A504" s="261">
        <v>1013370</v>
      </c>
      <c r="B504" s="261" t="s">
        <v>666</v>
      </c>
      <c r="C504" s="261">
        <v>1</v>
      </c>
    </row>
    <row r="505" spans="1:3" s="261" customFormat="1" x14ac:dyDescent="0.25">
      <c r="A505" s="261">
        <v>1013380</v>
      </c>
      <c r="B505" s="261" t="s">
        <v>667</v>
      </c>
      <c r="C505" s="261">
        <v>1</v>
      </c>
    </row>
    <row r="506" spans="1:3" s="261" customFormat="1" x14ac:dyDescent="0.25">
      <c r="A506" s="261">
        <v>1013390</v>
      </c>
      <c r="B506" s="261" t="s">
        <v>668</v>
      </c>
      <c r="C506" s="261">
        <v>1</v>
      </c>
    </row>
    <row r="507" spans="1:3" s="261" customFormat="1" x14ac:dyDescent="0.25">
      <c r="A507" s="261">
        <v>1013401</v>
      </c>
      <c r="B507" s="261" t="s">
        <v>669</v>
      </c>
      <c r="C507" s="261">
        <v>1299</v>
      </c>
    </row>
    <row r="508" spans="1:3" s="261" customFormat="1" x14ac:dyDescent="0.25">
      <c r="A508" s="261">
        <v>1013440</v>
      </c>
      <c r="B508" s="261" t="s">
        <v>670</v>
      </c>
      <c r="C508" s="261">
        <v>184.99</v>
      </c>
    </row>
    <row r="509" spans="1:3" s="261" customFormat="1" x14ac:dyDescent="0.25">
      <c r="A509" s="261">
        <v>1013480</v>
      </c>
      <c r="B509" s="261" t="s">
        <v>671</v>
      </c>
      <c r="C509" s="261">
        <v>15.99</v>
      </c>
    </row>
    <row r="510" spans="1:3" s="261" customFormat="1" x14ac:dyDescent="0.25">
      <c r="A510" s="261">
        <v>1013490</v>
      </c>
      <c r="B510" s="261" t="s">
        <v>672</v>
      </c>
      <c r="C510" s="261">
        <v>35.090000000000003</v>
      </c>
    </row>
    <row r="511" spans="1:3" s="261" customFormat="1" x14ac:dyDescent="0.25">
      <c r="A511" s="261">
        <v>1013500</v>
      </c>
      <c r="B511" s="261" t="s">
        <v>673</v>
      </c>
      <c r="C511" s="261">
        <v>1</v>
      </c>
    </row>
    <row r="512" spans="1:3" s="261" customFormat="1" x14ac:dyDescent="0.25">
      <c r="A512" s="261">
        <v>1013510</v>
      </c>
      <c r="B512" s="261" t="s">
        <v>674</v>
      </c>
      <c r="C512" s="261">
        <v>1</v>
      </c>
    </row>
    <row r="513" spans="1:3" s="261" customFormat="1" x14ac:dyDescent="0.25">
      <c r="A513" s="261">
        <v>1013520</v>
      </c>
      <c r="B513" s="261" t="s">
        <v>675</v>
      </c>
      <c r="C513" s="261">
        <v>1</v>
      </c>
    </row>
    <row r="514" spans="1:3" s="261" customFormat="1" x14ac:dyDescent="0.25">
      <c r="A514" s="261">
        <v>1013530</v>
      </c>
      <c r="B514" s="261" t="s">
        <v>676</v>
      </c>
      <c r="C514" s="261">
        <v>1</v>
      </c>
    </row>
    <row r="515" spans="1:3" s="261" customFormat="1" x14ac:dyDescent="0.25">
      <c r="A515" s="261">
        <v>1013540</v>
      </c>
      <c r="B515" s="261" t="s">
        <v>677</v>
      </c>
      <c r="C515" s="261">
        <v>1</v>
      </c>
    </row>
    <row r="516" spans="1:3" s="261" customFormat="1" x14ac:dyDescent="0.25">
      <c r="A516" s="261">
        <v>1013550</v>
      </c>
      <c r="B516" s="261" t="s">
        <v>678</v>
      </c>
      <c r="C516" s="261">
        <v>1</v>
      </c>
    </row>
    <row r="517" spans="1:3" s="261" customFormat="1" x14ac:dyDescent="0.25">
      <c r="A517" s="261">
        <v>1013560</v>
      </c>
      <c r="B517" s="261" t="s">
        <v>679</v>
      </c>
      <c r="C517" s="261">
        <v>1</v>
      </c>
    </row>
    <row r="518" spans="1:3" s="261" customFormat="1" x14ac:dyDescent="0.25">
      <c r="A518" s="261">
        <v>1013630</v>
      </c>
      <c r="B518" s="261" t="s">
        <v>680</v>
      </c>
      <c r="C518" s="261">
        <v>17.989999999999998</v>
      </c>
    </row>
    <row r="519" spans="1:3" s="261" customFormat="1" x14ac:dyDescent="0.25">
      <c r="A519" s="261">
        <v>1013640</v>
      </c>
      <c r="B519" s="261" t="s">
        <v>681</v>
      </c>
      <c r="C519" s="261">
        <v>20.99</v>
      </c>
    </row>
    <row r="520" spans="1:3" s="261" customFormat="1" x14ac:dyDescent="0.25">
      <c r="A520" s="261">
        <v>1013690</v>
      </c>
      <c r="B520" s="261" t="s">
        <v>682</v>
      </c>
      <c r="C520" s="261">
        <v>28.36</v>
      </c>
    </row>
    <row r="521" spans="1:3" s="261" customFormat="1" x14ac:dyDescent="0.25">
      <c r="A521" s="261">
        <v>1013700</v>
      </c>
      <c r="B521" s="261" t="s">
        <v>683</v>
      </c>
      <c r="C521" s="261">
        <v>17.989999999999998</v>
      </c>
    </row>
    <row r="522" spans="1:3" s="261" customFormat="1" x14ac:dyDescent="0.25">
      <c r="A522" s="261">
        <v>1013710</v>
      </c>
      <c r="B522" s="261" t="s">
        <v>684</v>
      </c>
      <c r="C522" s="261">
        <v>1</v>
      </c>
    </row>
    <row r="523" spans="1:3" s="261" customFormat="1" x14ac:dyDescent="0.25">
      <c r="A523" s="261">
        <v>1013760</v>
      </c>
      <c r="B523" s="261" t="s">
        <v>685</v>
      </c>
      <c r="C523" s="261">
        <v>119.99</v>
      </c>
    </row>
    <row r="524" spans="1:3" s="261" customFormat="1" x14ac:dyDescent="0.25">
      <c r="A524" s="261">
        <v>1013810</v>
      </c>
      <c r="B524" s="261" t="s">
        <v>526</v>
      </c>
      <c r="C524" s="261">
        <v>20</v>
      </c>
    </row>
    <row r="525" spans="1:3" s="261" customFormat="1" x14ac:dyDescent="0.25">
      <c r="A525" s="261">
        <v>1013850</v>
      </c>
      <c r="B525" s="261" t="s">
        <v>686</v>
      </c>
      <c r="C525" s="261">
        <v>1410.75</v>
      </c>
    </row>
    <row r="526" spans="1:3" s="261" customFormat="1" x14ac:dyDescent="0.25">
      <c r="A526" s="261">
        <v>1013880</v>
      </c>
      <c r="B526" s="261" t="s">
        <v>687</v>
      </c>
      <c r="C526" s="261">
        <v>17.95</v>
      </c>
    </row>
    <row r="527" spans="1:3" s="261" customFormat="1" x14ac:dyDescent="0.25">
      <c r="A527" s="261">
        <v>1013890</v>
      </c>
      <c r="B527" s="261" t="s">
        <v>688</v>
      </c>
      <c r="C527" s="261">
        <v>21.95</v>
      </c>
    </row>
    <row r="528" spans="1:3" s="261" customFormat="1" x14ac:dyDescent="0.25">
      <c r="A528" s="261">
        <v>1014200</v>
      </c>
      <c r="B528" s="261" t="s">
        <v>689</v>
      </c>
      <c r="C528" s="261">
        <v>9.16</v>
      </c>
    </row>
    <row r="529" spans="1:3" s="261" customFormat="1" x14ac:dyDescent="0.25">
      <c r="A529" s="261">
        <v>1014210</v>
      </c>
      <c r="B529" s="261" t="s">
        <v>690</v>
      </c>
      <c r="C529" s="261">
        <v>20</v>
      </c>
    </row>
    <row r="530" spans="1:3" s="261" customFormat="1" x14ac:dyDescent="0.25">
      <c r="A530" s="261">
        <v>1014300</v>
      </c>
      <c r="B530" s="261" t="s">
        <v>691</v>
      </c>
      <c r="C530" s="261">
        <v>0</v>
      </c>
    </row>
    <row r="531" spans="1:3" s="261" customFormat="1" x14ac:dyDescent="0.25">
      <c r="A531" s="261">
        <v>1014330</v>
      </c>
      <c r="B531" s="261" t="s">
        <v>1596</v>
      </c>
      <c r="C531" s="261">
        <v>4.99</v>
      </c>
    </row>
    <row r="532" spans="1:3" s="261" customFormat="1" x14ac:dyDescent="0.25">
      <c r="A532" s="261">
        <v>1014510</v>
      </c>
      <c r="B532" s="261" t="s">
        <v>692</v>
      </c>
      <c r="C532" s="261">
        <v>24.95</v>
      </c>
    </row>
    <row r="533" spans="1:3" s="261" customFormat="1" x14ac:dyDescent="0.25">
      <c r="A533" s="261">
        <v>1014570</v>
      </c>
      <c r="B533" s="261" t="s">
        <v>693</v>
      </c>
      <c r="C533" s="261">
        <v>49.95</v>
      </c>
    </row>
    <row r="534" spans="1:3" s="261" customFormat="1" x14ac:dyDescent="0.25">
      <c r="A534" s="261">
        <v>1014580</v>
      </c>
      <c r="B534" s="261" t="s">
        <v>694</v>
      </c>
      <c r="C534" s="261">
        <v>32.99</v>
      </c>
    </row>
    <row r="535" spans="1:3" s="261" customFormat="1" x14ac:dyDescent="0.25">
      <c r="A535" s="261">
        <v>1014590</v>
      </c>
      <c r="B535" s="261" t="s">
        <v>695</v>
      </c>
      <c r="C535" s="261">
        <v>19.989999999999998</v>
      </c>
    </row>
    <row r="536" spans="1:3" s="261" customFormat="1" x14ac:dyDescent="0.25">
      <c r="A536" s="261">
        <v>1014850</v>
      </c>
      <c r="B536" s="261" t="s">
        <v>696</v>
      </c>
      <c r="C536" s="261">
        <v>0</v>
      </c>
    </row>
    <row r="537" spans="1:3" s="261" customFormat="1" x14ac:dyDescent="0.25">
      <c r="A537" s="261">
        <v>1015050</v>
      </c>
      <c r="B537" s="261" t="s">
        <v>697</v>
      </c>
      <c r="C537" s="261">
        <v>0</v>
      </c>
    </row>
    <row r="538" spans="1:3" s="261" customFormat="1" x14ac:dyDescent="0.25">
      <c r="A538" s="261">
        <v>1015330</v>
      </c>
      <c r="B538" s="261" t="s">
        <v>698</v>
      </c>
      <c r="C538" s="261">
        <v>0.25</v>
      </c>
    </row>
    <row r="539" spans="1:3" s="261" customFormat="1" x14ac:dyDescent="0.25">
      <c r="A539" s="261">
        <v>1015360</v>
      </c>
      <c r="B539" s="261" t="s">
        <v>699</v>
      </c>
      <c r="C539" s="261">
        <v>75.989999999999995</v>
      </c>
    </row>
    <row r="540" spans="1:3" s="261" customFormat="1" x14ac:dyDescent="0.25">
      <c r="A540" s="261">
        <v>1015470</v>
      </c>
      <c r="B540" s="261" t="s">
        <v>700</v>
      </c>
      <c r="C540" s="261">
        <v>1976.71</v>
      </c>
    </row>
    <row r="541" spans="1:3" s="261" customFormat="1" x14ac:dyDescent="0.25">
      <c r="A541" s="261">
        <v>1015480</v>
      </c>
      <c r="B541" s="261" t="s">
        <v>701</v>
      </c>
      <c r="C541" s="261">
        <v>238.45</v>
      </c>
    </row>
    <row r="542" spans="1:3" s="261" customFormat="1" x14ac:dyDescent="0.25">
      <c r="A542" s="261">
        <v>1015650</v>
      </c>
      <c r="B542" s="261" t="s">
        <v>702</v>
      </c>
      <c r="C542" s="261">
        <v>83.99</v>
      </c>
    </row>
    <row r="543" spans="1:3" s="261" customFormat="1" x14ac:dyDescent="0.25">
      <c r="A543" s="261">
        <v>1015660</v>
      </c>
      <c r="B543" s="261" t="s">
        <v>703</v>
      </c>
      <c r="C543" s="261">
        <v>129.99</v>
      </c>
    </row>
    <row r="544" spans="1:3" s="261" customFormat="1" x14ac:dyDescent="0.25">
      <c r="A544" s="261">
        <v>1015670</v>
      </c>
      <c r="B544" s="261" t="s">
        <v>704</v>
      </c>
      <c r="C544" s="261">
        <v>194.99</v>
      </c>
    </row>
    <row r="545" spans="1:3" s="261" customFormat="1" x14ac:dyDescent="0.25">
      <c r="A545" s="261">
        <v>1015700</v>
      </c>
      <c r="B545" s="261" t="s">
        <v>705</v>
      </c>
      <c r="C545" s="261">
        <v>41.99</v>
      </c>
    </row>
    <row r="546" spans="1:3" s="261" customFormat="1" x14ac:dyDescent="0.25">
      <c r="A546" s="261">
        <v>1015780</v>
      </c>
      <c r="B546" s="261" t="s">
        <v>706</v>
      </c>
      <c r="C546" s="261">
        <v>53.95</v>
      </c>
    </row>
    <row r="547" spans="1:3" s="261" customFormat="1" x14ac:dyDescent="0.25">
      <c r="A547" s="261">
        <v>1015820</v>
      </c>
      <c r="B547" s="261" t="s">
        <v>707</v>
      </c>
      <c r="C547" s="261">
        <v>52.5</v>
      </c>
    </row>
    <row r="548" spans="1:3" s="261" customFormat="1" x14ac:dyDescent="0.25">
      <c r="A548" s="261">
        <v>1015830</v>
      </c>
      <c r="B548" s="261" t="s">
        <v>708</v>
      </c>
      <c r="C548" s="261">
        <v>8.99</v>
      </c>
    </row>
    <row r="549" spans="1:3" s="261" customFormat="1" x14ac:dyDescent="0.25">
      <c r="A549" s="261">
        <v>1015840</v>
      </c>
      <c r="B549" s="261" t="s">
        <v>709</v>
      </c>
      <c r="C549" s="261">
        <v>19.95</v>
      </c>
    </row>
    <row r="550" spans="1:3" s="261" customFormat="1" x14ac:dyDescent="0.25">
      <c r="A550" s="261">
        <v>1016010</v>
      </c>
      <c r="B550" s="261" t="s">
        <v>710</v>
      </c>
      <c r="C550" s="261">
        <v>299.95</v>
      </c>
    </row>
    <row r="551" spans="1:3" s="261" customFormat="1" x14ac:dyDescent="0.25">
      <c r="A551" s="261">
        <v>1016020</v>
      </c>
      <c r="B551" s="261" t="s">
        <v>711</v>
      </c>
      <c r="C551" s="261">
        <v>244.95</v>
      </c>
    </row>
    <row r="552" spans="1:3" s="261" customFormat="1" x14ac:dyDescent="0.25">
      <c r="A552" s="261">
        <v>1016040</v>
      </c>
      <c r="B552" s="261" t="s">
        <v>712</v>
      </c>
      <c r="C552" s="261">
        <v>148.94999999999999</v>
      </c>
    </row>
    <row r="553" spans="1:3" s="261" customFormat="1" x14ac:dyDescent="0.25">
      <c r="A553" s="261">
        <v>1016070</v>
      </c>
      <c r="B553" s="261" t="s">
        <v>713</v>
      </c>
      <c r="C553" s="261">
        <v>9.5</v>
      </c>
    </row>
    <row r="554" spans="1:3" s="261" customFormat="1" x14ac:dyDescent="0.25">
      <c r="A554" s="261">
        <v>1016120</v>
      </c>
      <c r="B554" s="261" t="s">
        <v>714</v>
      </c>
      <c r="C554" s="261">
        <v>175.99</v>
      </c>
    </row>
    <row r="555" spans="1:3" s="261" customFormat="1" x14ac:dyDescent="0.25">
      <c r="A555" s="261">
        <v>1016130</v>
      </c>
      <c r="B555" s="261" t="s">
        <v>715</v>
      </c>
      <c r="C555" s="261">
        <v>59.95</v>
      </c>
    </row>
    <row r="556" spans="1:3" s="261" customFormat="1" x14ac:dyDescent="0.25">
      <c r="A556" s="261">
        <v>1016140</v>
      </c>
      <c r="B556" s="261" t="s">
        <v>716</v>
      </c>
      <c r="C556" s="261">
        <v>11.99</v>
      </c>
    </row>
    <row r="557" spans="1:3" s="261" customFormat="1" x14ac:dyDescent="0.25">
      <c r="A557" s="261">
        <v>1016160</v>
      </c>
      <c r="B557" s="261" t="s">
        <v>717</v>
      </c>
      <c r="C557" s="261">
        <v>24.48</v>
      </c>
    </row>
    <row r="558" spans="1:3" s="261" customFormat="1" x14ac:dyDescent="0.25">
      <c r="A558" s="261">
        <v>1016170</v>
      </c>
      <c r="B558" s="261" t="s">
        <v>718</v>
      </c>
      <c r="C558" s="261">
        <v>11.65</v>
      </c>
    </row>
    <row r="559" spans="1:3" s="261" customFormat="1" x14ac:dyDescent="0.25">
      <c r="A559" s="261">
        <v>1016200</v>
      </c>
      <c r="B559" s="261" t="s">
        <v>719</v>
      </c>
      <c r="C559" s="261">
        <v>39.99</v>
      </c>
    </row>
    <row r="560" spans="1:3" s="261" customFormat="1" x14ac:dyDescent="0.25">
      <c r="A560" s="261">
        <v>1016210</v>
      </c>
      <c r="B560" s="261" t="s">
        <v>720</v>
      </c>
      <c r="C560" s="261">
        <v>29.99</v>
      </c>
    </row>
    <row r="561" spans="1:3" s="261" customFormat="1" x14ac:dyDescent="0.25">
      <c r="A561" s="261">
        <v>1016220</v>
      </c>
      <c r="B561" s="261" t="s">
        <v>721</v>
      </c>
      <c r="C561" s="261">
        <v>59.99</v>
      </c>
    </row>
    <row r="562" spans="1:3" s="261" customFormat="1" x14ac:dyDescent="0.25">
      <c r="A562" s="261">
        <v>1016230</v>
      </c>
      <c r="B562" s="261" t="s">
        <v>722</v>
      </c>
      <c r="C562" s="261">
        <v>64.989999999999995</v>
      </c>
    </row>
    <row r="563" spans="1:3" s="261" customFormat="1" x14ac:dyDescent="0.25">
      <c r="A563" s="261">
        <v>1016240</v>
      </c>
      <c r="B563" s="261" t="s">
        <v>723</v>
      </c>
      <c r="C563" s="261">
        <v>58.99</v>
      </c>
    </row>
    <row r="564" spans="1:3" s="261" customFormat="1" x14ac:dyDescent="0.25">
      <c r="A564" s="261">
        <v>1016250</v>
      </c>
      <c r="B564" s="261" t="s">
        <v>724</v>
      </c>
      <c r="C564" s="261">
        <v>6.6</v>
      </c>
    </row>
    <row r="565" spans="1:3" s="261" customFormat="1" x14ac:dyDescent="0.25">
      <c r="A565" s="261">
        <v>1016260</v>
      </c>
      <c r="B565" s="261" t="s">
        <v>725</v>
      </c>
      <c r="C565" s="261">
        <v>53.95</v>
      </c>
    </row>
    <row r="566" spans="1:3" s="261" customFormat="1" x14ac:dyDescent="0.25">
      <c r="A566" s="261">
        <v>1016291</v>
      </c>
      <c r="B566" s="261" t="s">
        <v>726</v>
      </c>
      <c r="C566" s="261">
        <v>54.95</v>
      </c>
    </row>
    <row r="567" spans="1:3" s="261" customFormat="1" x14ac:dyDescent="0.25">
      <c r="A567" s="261">
        <v>1016340</v>
      </c>
      <c r="B567" s="261" t="s">
        <v>727</v>
      </c>
      <c r="C567" s="261">
        <v>239.99</v>
      </c>
    </row>
    <row r="568" spans="1:3" s="261" customFormat="1" x14ac:dyDescent="0.25">
      <c r="A568" s="261">
        <v>1016350</v>
      </c>
      <c r="B568" s="261" t="s">
        <v>728</v>
      </c>
      <c r="C568" s="261">
        <v>239.99</v>
      </c>
    </row>
    <row r="569" spans="1:3" s="261" customFormat="1" x14ac:dyDescent="0.25">
      <c r="A569" s="261">
        <v>1016370</v>
      </c>
      <c r="B569" s="261" t="s">
        <v>729</v>
      </c>
      <c r="C569" s="261">
        <v>49.99</v>
      </c>
    </row>
    <row r="570" spans="1:3" s="261" customFormat="1" x14ac:dyDescent="0.25">
      <c r="A570" s="261">
        <v>1016380</v>
      </c>
      <c r="B570" s="261" t="s">
        <v>730</v>
      </c>
      <c r="C570" s="261">
        <v>94.99</v>
      </c>
    </row>
    <row r="571" spans="1:3" s="261" customFormat="1" x14ac:dyDescent="0.25">
      <c r="A571" s="261">
        <v>1016390</v>
      </c>
      <c r="B571" s="261" t="s">
        <v>731</v>
      </c>
      <c r="C571" s="261">
        <v>119.99</v>
      </c>
    </row>
    <row r="572" spans="1:3" s="261" customFormat="1" x14ac:dyDescent="0.25">
      <c r="A572" s="261">
        <v>1016400</v>
      </c>
      <c r="B572" s="261" t="s">
        <v>732</v>
      </c>
      <c r="C572" s="261">
        <v>179.99</v>
      </c>
    </row>
    <row r="573" spans="1:3" s="261" customFormat="1" x14ac:dyDescent="0.25">
      <c r="A573" s="261">
        <v>1016411</v>
      </c>
      <c r="B573" s="261" t="s">
        <v>733</v>
      </c>
      <c r="C573" s="261">
        <v>1.5</v>
      </c>
    </row>
    <row r="574" spans="1:3" s="261" customFormat="1" x14ac:dyDescent="0.25">
      <c r="A574" s="261">
        <v>1016460</v>
      </c>
      <c r="B574" s="261" t="s">
        <v>323</v>
      </c>
      <c r="C574" s="261">
        <v>27.25</v>
      </c>
    </row>
    <row r="575" spans="1:3" s="261" customFormat="1" x14ac:dyDescent="0.25">
      <c r="A575" s="261">
        <v>1016470</v>
      </c>
      <c r="B575" s="261" t="s">
        <v>324</v>
      </c>
      <c r="C575" s="261">
        <v>27.25</v>
      </c>
    </row>
    <row r="576" spans="1:3" s="261" customFormat="1" x14ac:dyDescent="0.25">
      <c r="A576" s="261">
        <v>1016480</v>
      </c>
      <c r="B576" s="261" t="s">
        <v>316</v>
      </c>
      <c r="C576" s="261">
        <v>27.25</v>
      </c>
    </row>
    <row r="577" spans="1:3" s="261" customFormat="1" x14ac:dyDescent="0.25">
      <c r="A577" s="261">
        <v>1016570</v>
      </c>
      <c r="B577" s="261" t="s">
        <v>734</v>
      </c>
      <c r="C577" s="261">
        <v>27.5</v>
      </c>
    </row>
    <row r="578" spans="1:3" s="261" customFormat="1" x14ac:dyDescent="0.25">
      <c r="A578" s="261">
        <v>1016580</v>
      </c>
      <c r="B578" s="261" t="s">
        <v>735</v>
      </c>
      <c r="C578" s="261">
        <v>20.55</v>
      </c>
    </row>
    <row r="579" spans="1:3" s="261" customFormat="1" x14ac:dyDescent="0.25">
      <c r="A579" s="261">
        <v>1016590</v>
      </c>
      <c r="B579" s="261" t="s">
        <v>736</v>
      </c>
      <c r="C579" s="261">
        <v>25.5</v>
      </c>
    </row>
    <row r="580" spans="1:3" s="261" customFormat="1" x14ac:dyDescent="0.25">
      <c r="A580" s="261">
        <v>1016610</v>
      </c>
      <c r="B580" s="261" t="s">
        <v>1615</v>
      </c>
      <c r="C580" s="261">
        <v>19.95</v>
      </c>
    </row>
    <row r="581" spans="1:3" s="261" customFormat="1" x14ac:dyDescent="0.25">
      <c r="A581" s="261">
        <v>1016870</v>
      </c>
      <c r="B581" s="261" t="s">
        <v>737</v>
      </c>
      <c r="C581" s="261">
        <v>149</v>
      </c>
    </row>
    <row r="582" spans="1:3" s="261" customFormat="1" x14ac:dyDescent="0.25">
      <c r="A582" s="261">
        <v>1016880</v>
      </c>
      <c r="B582" s="261" t="s">
        <v>738</v>
      </c>
      <c r="C582" s="261">
        <v>40</v>
      </c>
    </row>
    <row r="583" spans="1:3" s="261" customFormat="1" x14ac:dyDescent="0.25">
      <c r="A583" s="261">
        <v>1016900</v>
      </c>
      <c r="B583" s="261" t="s">
        <v>739</v>
      </c>
      <c r="C583" s="261">
        <v>149</v>
      </c>
    </row>
    <row r="584" spans="1:3" s="261" customFormat="1" x14ac:dyDescent="0.25">
      <c r="A584" s="261">
        <v>1016910</v>
      </c>
      <c r="B584" s="261" t="s">
        <v>740</v>
      </c>
      <c r="C584" s="261">
        <v>179</v>
      </c>
    </row>
    <row r="585" spans="1:3" s="261" customFormat="1" x14ac:dyDescent="0.25">
      <c r="A585" s="261">
        <v>1017180</v>
      </c>
      <c r="B585" s="261" t="s">
        <v>741</v>
      </c>
      <c r="C585" s="261">
        <v>35</v>
      </c>
    </row>
    <row r="586" spans="1:3" s="261" customFormat="1" x14ac:dyDescent="0.25">
      <c r="A586" s="261">
        <v>1017250</v>
      </c>
      <c r="B586" s="261" t="s">
        <v>742</v>
      </c>
      <c r="C586" s="261">
        <v>500</v>
      </c>
    </row>
    <row r="587" spans="1:3" s="261" customFormat="1" x14ac:dyDescent="0.25">
      <c r="A587" s="261">
        <v>1017260</v>
      </c>
      <c r="B587" s="261" t="s">
        <v>743</v>
      </c>
      <c r="C587" s="261">
        <v>1000</v>
      </c>
    </row>
    <row r="588" spans="1:3" s="261" customFormat="1" x14ac:dyDescent="0.25">
      <c r="A588" s="261">
        <v>1017270</v>
      </c>
      <c r="B588" s="261" t="s">
        <v>744</v>
      </c>
      <c r="C588" s="261">
        <v>1500</v>
      </c>
    </row>
    <row r="589" spans="1:3" s="261" customFormat="1" x14ac:dyDescent="0.25">
      <c r="A589" s="261">
        <v>1017280</v>
      </c>
      <c r="B589" s="261" t="s">
        <v>745</v>
      </c>
      <c r="C589" s="261">
        <v>2000</v>
      </c>
    </row>
    <row r="590" spans="1:3" s="261" customFormat="1" x14ac:dyDescent="0.25">
      <c r="A590" s="261">
        <v>1017290</v>
      </c>
      <c r="B590" s="261" t="s">
        <v>746</v>
      </c>
      <c r="C590" s="261">
        <v>2500</v>
      </c>
    </row>
    <row r="591" spans="1:3" s="261" customFormat="1" x14ac:dyDescent="0.25">
      <c r="A591" s="261">
        <v>1017300</v>
      </c>
      <c r="B591" s="261" t="s">
        <v>747</v>
      </c>
      <c r="C591" s="261">
        <v>3000</v>
      </c>
    </row>
    <row r="592" spans="1:3" s="261" customFormat="1" x14ac:dyDescent="0.25">
      <c r="A592" s="261">
        <v>1017310</v>
      </c>
      <c r="B592" s="261" t="s">
        <v>748</v>
      </c>
      <c r="C592" s="261">
        <v>3500</v>
      </c>
    </row>
    <row r="593" spans="1:3" s="261" customFormat="1" x14ac:dyDescent="0.25">
      <c r="A593" s="261">
        <v>1017320</v>
      </c>
      <c r="B593" s="261" t="s">
        <v>749</v>
      </c>
      <c r="C593" s="261">
        <v>750</v>
      </c>
    </row>
    <row r="594" spans="1:3" s="261" customFormat="1" x14ac:dyDescent="0.25">
      <c r="A594" s="261">
        <v>1017410</v>
      </c>
      <c r="B594" s="261" t="s">
        <v>750</v>
      </c>
      <c r="C594" s="261">
        <v>1128.9000000000001</v>
      </c>
    </row>
    <row r="595" spans="1:3" s="261" customFormat="1" x14ac:dyDescent="0.25">
      <c r="A595" s="261">
        <v>1017420</v>
      </c>
      <c r="B595" s="261" t="s">
        <v>751</v>
      </c>
      <c r="C595" s="261">
        <v>395</v>
      </c>
    </row>
    <row r="596" spans="1:3" s="261" customFormat="1" x14ac:dyDescent="0.25">
      <c r="A596" s="261">
        <v>1017430</v>
      </c>
      <c r="B596" s="261" t="s">
        <v>752</v>
      </c>
      <c r="C596" s="261">
        <v>520</v>
      </c>
    </row>
    <row r="597" spans="1:3" s="261" customFormat="1" x14ac:dyDescent="0.25">
      <c r="A597" s="261">
        <v>1017440</v>
      </c>
      <c r="B597" s="261" t="s">
        <v>753</v>
      </c>
      <c r="C597" s="261">
        <v>305.5</v>
      </c>
    </row>
    <row r="598" spans="1:3" s="261" customFormat="1" x14ac:dyDescent="0.25">
      <c r="A598" s="261">
        <v>1017451</v>
      </c>
      <c r="B598" s="261" t="s">
        <v>754</v>
      </c>
      <c r="C598" s="261">
        <v>45.99</v>
      </c>
    </row>
    <row r="599" spans="1:3" s="261" customFormat="1" x14ac:dyDescent="0.25">
      <c r="A599" s="261">
        <v>1017461</v>
      </c>
      <c r="B599" s="261" t="s">
        <v>755</v>
      </c>
      <c r="C599" s="261">
        <v>0</v>
      </c>
    </row>
    <row r="600" spans="1:3" s="261" customFormat="1" x14ac:dyDescent="0.25">
      <c r="A600" s="261">
        <v>1017471</v>
      </c>
      <c r="B600" s="261" t="s">
        <v>756</v>
      </c>
      <c r="C600" s="261">
        <v>0</v>
      </c>
    </row>
    <row r="601" spans="1:3" s="261" customFormat="1" x14ac:dyDescent="0.25">
      <c r="A601" s="261">
        <v>1017511</v>
      </c>
      <c r="B601" s="261" t="s">
        <v>757</v>
      </c>
      <c r="C601" s="261">
        <v>34.99</v>
      </c>
    </row>
    <row r="602" spans="1:3" s="261" customFormat="1" x14ac:dyDescent="0.25">
      <c r="A602" s="261">
        <v>1017560</v>
      </c>
      <c r="B602" s="261" t="s">
        <v>758</v>
      </c>
      <c r="C602" s="261">
        <v>105.95</v>
      </c>
    </row>
    <row r="603" spans="1:3" s="261" customFormat="1" x14ac:dyDescent="0.25">
      <c r="A603" s="261">
        <v>1017600</v>
      </c>
      <c r="B603" s="261" t="s">
        <v>759</v>
      </c>
      <c r="C603" s="261">
        <v>4.75</v>
      </c>
    </row>
    <row r="604" spans="1:3" s="261" customFormat="1" x14ac:dyDescent="0.25">
      <c r="A604" s="261">
        <v>1017610</v>
      </c>
      <c r="B604" s="261" t="s">
        <v>760</v>
      </c>
      <c r="C604" s="261">
        <v>55.95</v>
      </c>
    </row>
    <row r="605" spans="1:3" s="261" customFormat="1" x14ac:dyDescent="0.25">
      <c r="A605" s="261">
        <v>1017640</v>
      </c>
      <c r="B605" s="261" t="s">
        <v>761</v>
      </c>
      <c r="C605" s="261">
        <v>0</v>
      </c>
    </row>
    <row r="606" spans="1:3" s="261" customFormat="1" x14ac:dyDescent="0.25">
      <c r="A606" s="261">
        <v>1017650</v>
      </c>
      <c r="B606" s="261" t="s">
        <v>762</v>
      </c>
      <c r="C606" s="261">
        <v>0</v>
      </c>
    </row>
    <row r="607" spans="1:3" s="261" customFormat="1" x14ac:dyDescent="0.25">
      <c r="A607" s="261">
        <v>1017660</v>
      </c>
      <c r="B607" s="261" t="s">
        <v>763</v>
      </c>
      <c r="C607" s="261">
        <v>0</v>
      </c>
    </row>
    <row r="608" spans="1:3" s="261" customFormat="1" x14ac:dyDescent="0.25">
      <c r="A608" s="261">
        <v>1017790</v>
      </c>
      <c r="B608" s="261" t="s">
        <v>764</v>
      </c>
      <c r="C608" s="261">
        <v>59.99</v>
      </c>
    </row>
    <row r="609" spans="1:3" s="261" customFormat="1" x14ac:dyDescent="0.25">
      <c r="A609" s="261">
        <v>1017810</v>
      </c>
      <c r="B609" s="261" t="s">
        <v>765</v>
      </c>
      <c r="C609" s="261">
        <v>99</v>
      </c>
    </row>
    <row r="610" spans="1:3" s="261" customFormat="1" x14ac:dyDescent="0.25">
      <c r="A610" s="261">
        <v>1017820</v>
      </c>
      <c r="B610" s="261" t="s">
        <v>766</v>
      </c>
      <c r="C610" s="261">
        <v>99</v>
      </c>
    </row>
    <row r="611" spans="1:3" s="261" customFormat="1" x14ac:dyDescent="0.25">
      <c r="A611" s="261">
        <v>1017830</v>
      </c>
      <c r="B611" s="261" t="s">
        <v>767</v>
      </c>
      <c r="C611" s="261">
        <v>49</v>
      </c>
    </row>
    <row r="612" spans="1:3" s="261" customFormat="1" x14ac:dyDescent="0.25">
      <c r="A612" s="261">
        <v>1017840</v>
      </c>
      <c r="B612" s="261" t="s">
        <v>768</v>
      </c>
      <c r="C612" s="261">
        <v>149</v>
      </c>
    </row>
    <row r="613" spans="1:3" s="261" customFormat="1" x14ac:dyDescent="0.25">
      <c r="A613" s="261">
        <v>1018040</v>
      </c>
      <c r="B613" s="261" t="s">
        <v>769</v>
      </c>
      <c r="C613" s="261">
        <v>25.99</v>
      </c>
    </row>
    <row r="614" spans="1:3" s="261" customFormat="1" x14ac:dyDescent="0.25">
      <c r="A614" s="261">
        <v>1018070</v>
      </c>
      <c r="B614" s="261" t="s">
        <v>770</v>
      </c>
      <c r="C614" s="261">
        <v>22.99</v>
      </c>
    </row>
    <row r="615" spans="1:3" s="261" customFormat="1" x14ac:dyDescent="0.25">
      <c r="A615" s="261">
        <v>1018080</v>
      </c>
      <c r="B615" s="261" t="s">
        <v>771</v>
      </c>
      <c r="C615" s="261">
        <v>22.99</v>
      </c>
    </row>
    <row r="616" spans="1:3" s="261" customFormat="1" x14ac:dyDescent="0.25">
      <c r="A616" s="261">
        <v>1018290</v>
      </c>
      <c r="B616" s="261" t="s">
        <v>772</v>
      </c>
      <c r="C616" s="261">
        <v>914</v>
      </c>
    </row>
    <row r="617" spans="1:3" s="261" customFormat="1" x14ac:dyDescent="0.25">
      <c r="A617" s="261">
        <v>1018320</v>
      </c>
      <c r="B617" s="261" t="s">
        <v>773</v>
      </c>
      <c r="C617" s="261">
        <v>629</v>
      </c>
    </row>
    <row r="618" spans="1:3" s="261" customFormat="1" x14ac:dyDescent="0.25">
      <c r="A618" s="261">
        <v>1018330</v>
      </c>
      <c r="B618" s="261" t="s">
        <v>774</v>
      </c>
      <c r="C618" s="261">
        <v>914</v>
      </c>
    </row>
    <row r="619" spans="1:3" s="261" customFormat="1" x14ac:dyDescent="0.25">
      <c r="A619" s="261">
        <v>1018340</v>
      </c>
      <c r="B619" s="261" t="s">
        <v>775</v>
      </c>
      <c r="C619" s="261">
        <v>914</v>
      </c>
    </row>
    <row r="620" spans="1:3" s="261" customFormat="1" x14ac:dyDescent="0.25">
      <c r="A620" s="261">
        <v>1018341</v>
      </c>
      <c r="B620" s="261" t="s">
        <v>776</v>
      </c>
      <c r="C620" s="261">
        <v>0</v>
      </c>
    </row>
    <row r="621" spans="1:3" s="261" customFormat="1" x14ac:dyDescent="0.25">
      <c r="A621" s="261">
        <v>1018350</v>
      </c>
      <c r="B621" s="261" t="s">
        <v>777</v>
      </c>
      <c r="C621" s="261">
        <v>629</v>
      </c>
    </row>
    <row r="622" spans="1:3" s="261" customFormat="1" x14ac:dyDescent="0.25">
      <c r="A622" s="261">
        <v>1018360</v>
      </c>
      <c r="B622" s="261" t="s">
        <v>778</v>
      </c>
      <c r="C622" s="261">
        <v>629</v>
      </c>
    </row>
    <row r="623" spans="1:3" s="261" customFormat="1" x14ac:dyDescent="0.25">
      <c r="A623" s="261">
        <v>1018470</v>
      </c>
      <c r="B623" s="261" t="s">
        <v>779</v>
      </c>
      <c r="C623" s="261">
        <v>69.95</v>
      </c>
    </row>
    <row r="624" spans="1:3" s="261" customFormat="1" x14ac:dyDescent="0.25">
      <c r="A624" s="261">
        <v>1019330</v>
      </c>
      <c r="B624" s="261" t="s">
        <v>780</v>
      </c>
      <c r="C624" s="261">
        <v>228.5</v>
      </c>
    </row>
    <row r="625" spans="1:3" s="261" customFormat="1" x14ac:dyDescent="0.25">
      <c r="A625" s="261">
        <v>1019340</v>
      </c>
      <c r="B625" s="261" t="s">
        <v>781</v>
      </c>
      <c r="C625" s="261">
        <v>157.25</v>
      </c>
    </row>
    <row r="626" spans="1:3" s="261" customFormat="1" x14ac:dyDescent="0.25">
      <c r="A626" s="261">
        <v>1019400</v>
      </c>
      <c r="B626" s="261" t="s">
        <v>782</v>
      </c>
      <c r="C626" s="261">
        <v>49.95</v>
      </c>
    </row>
    <row r="627" spans="1:3" s="261" customFormat="1" x14ac:dyDescent="0.25">
      <c r="A627" s="261">
        <v>1019410</v>
      </c>
      <c r="B627" s="261" t="s">
        <v>783</v>
      </c>
      <c r="C627" s="261">
        <v>32.61</v>
      </c>
    </row>
    <row r="628" spans="1:3" s="261" customFormat="1" x14ac:dyDescent="0.25">
      <c r="A628" s="261">
        <v>1019420</v>
      </c>
      <c r="B628" s="261" t="s">
        <v>784</v>
      </c>
      <c r="C628" s="261">
        <v>61.02</v>
      </c>
    </row>
    <row r="629" spans="1:3" s="261" customFormat="1" x14ac:dyDescent="0.25">
      <c r="A629" s="261">
        <v>1019950</v>
      </c>
      <c r="B629" s="261" t="s">
        <v>785</v>
      </c>
      <c r="C629" s="261">
        <v>31.33</v>
      </c>
    </row>
    <row r="630" spans="1:3" s="261" customFormat="1" x14ac:dyDescent="0.25">
      <c r="A630" s="261">
        <v>1019980</v>
      </c>
      <c r="B630" s="261" t="s">
        <v>786</v>
      </c>
      <c r="C630" s="261">
        <v>17.95</v>
      </c>
    </row>
    <row r="631" spans="1:3" s="261" customFormat="1" x14ac:dyDescent="0.25">
      <c r="A631" s="261">
        <v>1020020</v>
      </c>
      <c r="B631" s="261" t="s">
        <v>787</v>
      </c>
      <c r="C631" s="261">
        <v>129</v>
      </c>
    </row>
    <row r="632" spans="1:3" s="261" customFormat="1" x14ac:dyDescent="0.25">
      <c r="A632" s="261">
        <v>1020030</v>
      </c>
      <c r="B632" s="261" t="s">
        <v>788</v>
      </c>
      <c r="C632" s="261">
        <v>231</v>
      </c>
    </row>
    <row r="633" spans="1:3" s="261" customFormat="1" x14ac:dyDescent="0.25">
      <c r="A633" s="261">
        <v>1020050</v>
      </c>
      <c r="B633" s="261" t="s">
        <v>789</v>
      </c>
      <c r="C633" s="261">
        <v>410</v>
      </c>
    </row>
    <row r="634" spans="1:3" s="261" customFormat="1" x14ac:dyDescent="0.25">
      <c r="A634" s="261">
        <v>1020060</v>
      </c>
      <c r="B634" s="261" t="s">
        <v>790</v>
      </c>
      <c r="C634" s="261">
        <v>770</v>
      </c>
    </row>
    <row r="635" spans="1:3" s="261" customFormat="1" x14ac:dyDescent="0.25">
      <c r="A635" s="261">
        <v>1020070</v>
      </c>
      <c r="B635" s="261" t="s">
        <v>791</v>
      </c>
      <c r="C635" s="261">
        <v>25</v>
      </c>
    </row>
    <row r="636" spans="1:3" s="261" customFormat="1" x14ac:dyDescent="0.25">
      <c r="A636" s="261">
        <v>1020080</v>
      </c>
      <c r="B636" s="261" t="s">
        <v>792</v>
      </c>
      <c r="C636" s="261">
        <v>239</v>
      </c>
    </row>
    <row r="637" spans="1:3" s="261" customFormat="1" x14ac:dyDescent="0.25">
      <c r="A637" s="261">
        <v>1020090</v>
      </c>
      <c r="B637" s="261" t="s">
        <v>793</v>
      </c>
      <c r="C637" s="261">
        <v>239</v>
      </c>
    </row>
    <row r="638" spans="1:3" s="261" customFormat="1" x14ac:dyDescent="0.25">
      <c r="A638" s="261">
        <v>1020100</v>
      </c>
      <c r="B638" s="261" t="s">
        <v>794</v>
      </c>
      <c r="C638" s="261">
        <v>431</v>
      </c>
    </row>
    <row r="639" spans="1:3" s="261" customFormat="1" x14ac:dyDescent="0.25">
      <c r="A639" s="261">
        <v>1020110</v>
      </c>
      <c r="B639" s="261" t="s">
        <v>795</v>
      </c>
      <c r="C639" s="261">
        <v>431</v>
      </c>
    </row>
    <row r="640" spans="1:3" s="261" customFormat="1" x14ac:dyDescent="0.25">
      <c r="A640" s="261">
        <v>1020120</v>
      </c>
      <c r="B640" s="261" t="s">
        <v>796</v>
      </c>
      <c r="C640" s="261">
        <v>719</v>
      </c>
    </row>
    <row r="641" spans="1:3" s="261" customFormat="1" x14ac:dyDescent="0.25">
      <c r="A641" s="261">
        <v>1020130</v>
      </c>
      <c r="B641" s="261" t="s">
        <v>797</v>
      </c>
      <c r="C641" s="261">
        <v>1341</v>
      </c>
    </row>
    <row r="642" spans="1:3" s="261" customFormat="1" x14ac:dyDescent="0.25">
      <c r="A642" s="261">
        <v>1020190</v>
      </c>
      <c r="B642" s="261" t="s">
        <v>798</v>
      </c>
      <c r="C642" s="261">
        <v>200</v>
      </c>
    </row>
    <row r="643" spans="1:3" s="261" customFormat="1" x14ac:dyDescent="0.25">
      <c r="A643" s="261">
        <v>1020230</v>
      </c>
      <c r="B643" s="261" t="s">
        <v>799</v>
      </c>
      <c r="C643" s="261">
        <v>200</v>
      </c>
    </row>
    <row r="644" spans="1:3" s="261" customFormat="1" x14ac:dyDescent="0.25">
      <c r="A644" s="261">
        <v>1020241</v>
      </c>
      <c r="B644" s="261" t="s">
        <v>800</v>
      </c>
      <c r="C644" s="261">
        <v>1299</v>
      </c>
    </row>
    <row r="645" spans="1:3" s="261" customFormat="1" x14ac:dyDescent="0.25">
      <c r="A645" s="261">
        <v>1020251</v>
      </c>
      <c r="B645" s="261" t="s">
        <v>801</v>
      </c>
      <c r="C645" s="261">
        <v>1059</v>
      </c>
    </row>
    <row r="646" spans="1:3" s="261" customFormat="1" x14ac:dyDescent="0.25">
      <c r="A646" s="261">
        <v>1020261</v>
      </c>
      <c r="B646" s="261" t="s">
        <v>802</v>
      </c>
      <c r="C646" s="261">
        <v>949</v>
      </c>
    </row>
    <row r="647" spans="1:3" s="261" customFormat="1" x14ac:dyDescent="0.25">
      <c r="A647" s="261">
        <v>1020271</v>
      </c>
      <c r="B647" s="261" t="s">
        <v>803</v>
      </c>
      <c r="C647" s="261">
        <v>949</v>
      </c>
    </row>
    <row r="648" spans="1:3" s="261" customFormat="1" x14ac:dyDescent="0.25">
      <c r="A648" s="261">
        <v>1020280</v>
      </c>
      <c r="B648" s="261" t="s">
        <v>804</v>
      </c>
      <c r="C648" s="261">
        <v>250</v>
      </c>
    </row>
    <row r="649" spans="1:3" s="261" customFormat="1" x14ac:dyDescent="0.25">
      <c r="A649" s="261">
        <v>1020291</v>
      </c>
      <c r="B649" s="261" t="s">
        <v>805</v>
      </c>
      <c r="C649" s="261">
        <v>289</v>
      </c>
    </row>
    <row r="650" spans="1:3" s="261" customFormat="1" x14ac:dyDescent="0.25">
      <c r="A650" s="261">
        <v>1020300</v>
      </c>
      <c r="B650" s="261" t="s">
        <v>806</v>
      </c>
      <c r="C650" s="261">
        <v>289</v>
      </c>
    </row>
    <row r="651" spans="1:3" s="261" customFormat="1" x14ac:dyDescent="0.25">
      <c r="A651" s="261">
        <v>1020310</v>
      </c>
      <c r="B651" s="261" t="s">
        <v>807</v>
      </c>
      <c r="C651" s="261">
        <v>0</v>
      </c>
    </row>
    <row r="652" spans="1:3" s="261" customFormat="1" x14ac:dyDescent="0.25">
      <c r="A652" s="261">
        <v>1020320</v>
      </c>
      <c r="B652" s="261" t="s">
        <v>808</v>
      </c>
      <c r="C652" s="261">
        <v>0</v>
      </c>
    </row>
    <row r="653" spans="1:3" s="261" customFormat="1" x14ac:dyDescent="0.25">
      <c r="A653" s="261">
        <v>1020330</v>
      </c>
      <c r="B653" s="261" t="s">
        <v>809</v>
      </c>
      <c r="C653" s="261">
        <v>0</v>
      </c>
    </row>
    <row r="654" spans="1:3" s="261" customFormat="1" x14ac:dyDescent="0.25">
      <c r="A654" s="261">
        <v>1020341</v>
      </c>
      <c r="B654" s="261" t="s">
        <v>810</v>
      </c>
      <c r="C654" s="261">
        <v>550</v>
      </c>
    </row>
    <row r="655" spans="1:3" s="261" customFormat="1" x14ac:dyDescent="0.25">
      <c r="A655" s="261">
        <v>1020350</v>
      </c>
      <c r="B655" s="261" t="s">
        <v>811</v>
      </c>
      <c r="C655" s="261">
        <v>550</v>
      </c>
    </row>
    <row r="656" spans="1:3" s="261" customFormat="1" x14ac:dyDescent="0.25">
      <c r="A656" s="261">
        <v>1020360</v>
      </c>
      <c r="B656" s="261" t="s">
        <v>812</v>
      </c>
      <c r="C656" s="261">
        <v>289</v>
      </c>
    </row>
    <row r="657" spans="1:3" s="261" customFormat="1" x14ac:dyDescent="0.25">
      <c r="A657" s="261">
        <v>1020370</v>
      </c>
      <c r="B657" s="261" t="s">
        <v>813</v>
      </c>
      <c r="C657" s="261">
        <v>100</v>
      </c>
    </row>
    <row r="658" spans="1:3" s="261" customFormat="1" x14ac:dyDescent="0.25">
      <c r="A658" s="261">
        <v>1020380</v>
      </c>
      <c r="B658" s="261" t="s">
        <v>814</v>
      </c>
      <c r="C658" s="261">
        <v>34.99</v>
      </c>
    </row>
    <row r="659" spans="1:3" s="261" customFormat="1" x14ac:dyDescent="0.25">
      <c r="A659" s="261">
        <v>1020390</v>
      </c>
      <c r="B659" s="261" t="s">
        <v>815</v>
      </c>
      <c r="C659" s="261">
        <v>0</v>
      </c>
    </row>
    <row r="660" spans="1:3" s="261" customFormat="1" x14ac:dyDescent="0.25">
      <c r="A660" s="261">
        <v>1020400</v>
      </c>
      <c r="B660" s="261" t="s">
        <v>816</v>
      </c>
      <c r="C660" s="261">
        <v>99</v>
      </c>
    </row>
    <row r="661" spans="1:3" s="261" customFormat="1" x14ac:dyDescent="0.25">
      <c r="A661" s="261">
        <v>1020420</v>
      </c>
      <c r="B661" s="261" t="s">
        <v>817</v>
      </c>
      <c r="C661" s="261">
        <v>289</v>
      </c>
    </row>
    <row r="662" spans="1:3" s="261" customFormat="1" x14ac:dyDescent="0.25">
      <c r="A662" s="261">
        <v>1020421</v>
      </c>
      <c r="B662" s="261" t="s">
        <v>818</v>
      </c>
      <c r="C662" s="261">
        <v>289</v>
      </c>
    </row>
    <row r="663" spans="1:3" s="261" customFormat="1" x14ac:dyDescent="0.25">
      <c r="A663" s="261">
        <v>1020430</v>
      </c>
      <c r="B663" s="261" t="s">
        <v>819</v>
      </c>
      <c r="C663" s="261">
        <v>28.99</v>
      </c>
    </row>
    <row r="664" spans="1:3" s="261" customFormat="1" x14ac:dyDescent="0.25">
      <c r="A664" s="261">
        <v>1020440</v>
      </c>
      <c r="B664" s="261" t="s">
        <v>820</v>
      </c>
      <c r="C664" s="261">
        <v>41.99</v>
      </c>
    </row>
    <row r="665" spans="1:3" s="261" customFormat="1" x14ac:dyDescent="0.25">
      <c r="A665" s="261">
        <v>1020471</v>
      </c>
      <c r="B665" s="261" t="s">
        <v>821</v>
      </c>
      <c r="C665" s="261">
        <v>3</v>
      </c>
    </row>
    <row r="666" spans="1:3" s="261" customFormat="1" x14ac:dyDescent="0.25">
      <c r="A666" s="261">
        <v>1020490</v>
      </c>
      <c r="B666" s="261" t="s">
        <v>822</v>
      </c>
      <c r="C666" s="261">
        <v>32.950000000000003</v>
      </c>
    </row>
    <row r="667" spans="1:3" s="261" customFormat="1" x14ac:dyDescent="0.25">
      <c r="A667" s="261">
        <v>1020550</v>
      </c>
      <c r="B667" s="261" t="s">
        <v>823</v>
      </c>
      <c r="C667" s="261">
        <v>0</v>
      </c>
    </row>
    <row r="668" spans="1:3" s="261" customFormat="1" x14ac:dyDescent="0.25">
      <c r="A668" s="261">
        <v>1020560</v>
      </c>
      <c r="B668" s="261" t="s">
        <v>824</v>
      </c>
      <c r="C668" s="261">
        <v>21.75</v>
      </c>
    </row>
    <row r="669" spans="1:3" s="261" customFormat="1" x14ac:dyDescent="0.25">
      <c r="A669" s="261">
        <v>1020571</v>
      </c>
      <c r="B669" s="261" t="s">
        <v>825</v>
      </c>
      <c r="C669" s="261">
        <v>250</v>
      </c>
    </row>
    <row r="670" spans="1:3" s="261" customFormat="1" x14ac:dyDescent="0.25">
      <c r="A670" s="261">
        <v>1020581</v>
      </c>
      <c r="B670" s="261" t="s">
        <v>826</v>
      </c>
      <c r="C670" s="261">
        <v>250</v>
      </c>
    </row>
    <row r="671" spans="1:3" s="261" customFormat="1" x14ac:dyDescent="0.25">
      <c r="A671" s="261">
        <v>1020591</v>
      </c>
      <c r="B671" s="261" t="s">
        <v>827</v>
      </c>
      <c r="C671" s="261">
        <v>949</v>
      </c>
    </row>
    <row r="672" spans="1:3" s="261" customFormat="1" x14ac:dyDescent="0.25">
      <c r="A672" s="261">
        <v>1020601</v>
      </c>
      <c r="B672" s="261" t="s">
        <v>828</v>
      </c>
      <c r="C672" s="261">
        <v>949</v>
      </c>
    </row>
    <row r="673" spans="1:3" s="261" customFormat="1" x14ac:dyDescent="0.25">
      <c r="A673" s="261">
        <v>1020611</v>
      </c>
      <c r="B673" s="261" t="s">
        <v>829</v>
      </c>
      <c r="C673" s="261">
        <v>250</v>
      </c>
    </row>
    <row r="674" spans="1:3" s="261" customFormat="1" x14ac:dyDescent="0.25">
      <c r="A674" s="261">
        <v>1020620</v>
      </c>
      <c r="B674" s="261" t="s">
        <v>830</v>
      </c>
      <c r="C674" s="261">
        <v>500</v>
      </c>
    </row>
    <row r="675" spans="1:3" s="261" customFormat="1" x14ac:dyDescent="0.25">
      <c r="A675" s="261">
        <v>1020630</v>
      </c>
      <c r="B675" s="261" t="s">
        <v>831</v>
      </c>
      <c r="C675" s="261">
        <v>750</v>
      </c>
    </row>
    <row r="676" spans="1:3" s="261" customFormat="1" x14ac:dyDescent="0.25">
      <c r="A676" s="261">
        <v>1020640</v>
      </c>
      <c r="B676" s="261" t="s">
        <v>832</v>
      </c>
      <c r="C676" s="261">
        <v>1000</v>
      </c>
    </row>
    <row r="677" spans="1:3" s="261" customFormat="1" x14ac:dyDescent="0.25">
      <c r="A677" s="261">
        <v>1020650</v>
      </c>
      <c r="B677" s="261" t="s">
        <v>833</v>
      </c>
      <c r="C677" s="261">
        <v>1100</v>
      </c>
    </row>
    <row r="678" spans="1:3" s="261" customFormat="1" x14ac:dyDescent="0.25">
      <c r="A678" s="261">
        <v>1020660</v>
      </c>
      <c r="B678" s="261" t="s">
        <v>834</v>
      </c>
      <c r="C678" s="261">
        <v>1200</v>
      </c>
    </row>
    <row r="679" spans="1:3" s="261" customFormat="1" x14ac:dyDescent="0.25">
      <c r="A679" s="261">
        <v>1020670</v>
      </c>
      <c r="B679" s="261" t="s">
        <v>835</v>
      </c>
      <c r="C679" s="261">
        <v>1250</v>
      </c>
    </row>
    <row r="680" spans="1:3" s="261" customFormat="1" x14ac:dyDescent="0.25">
      <c r="A680" s="261">
        <v>1020680</v>
      </c>
      <c r="B680" s="261" t="s">
        <v>836</v>
      </c>
      <c r="C680" s="261">
        <v>1300</v>
      </c>
    </row>
    <row r="681" spans="1:3" s="261" customFormat="1" x14ac:dyDescent="0.25">
      <c r="A681" s="261">
        <v>1020690</v>
      </c>
      <c r="B681" s="261" t="s">
        <v>837</v>
      </c>
      <c r="C681" s="261">
        <v>1400</v>
      </c>
    </row>
    <row r="682" spans="1:3" s="261" customFormat="1" x14ac:dyDescent="0.25">
      <c r="A682" s="261">
        <v>1020700</v>
      </c>
      <c r="B682" s="261" t="s">
        <v>838</v>
      </c>
      <c r="C682" s="261">
        <v>1500</v>
      </c>
    </row>
    <row r="683" spans="1:3" s="261" customFormat="1" x14ac:dyDescent="0.25">
      <c r="A683" s="261">
        <v>1020710</v>
      </c>
      <c r="B683" s="261" t="s">
        <v>839</v>
      </c>
      <c r="C683" s="261">
        <v>1600</v>
      </c>
    </row>
    <row r="684" spans="1:3" s="261" customFormat="1" x14ac:dyDescent="0.25">
      <c r="A684" s="261">
        <v>1020720</v>
      </c>
      <c r="B684" s="261" t="s">
        <v>840</v>
      </c>
      <c r="C684" s="261">
        <v>1700</v>
      </c>
    </row>
    <row r="685" spans="1:3" s="261" customFormat="1" x14ac:dyDescent="0.25">
      <c r="A685" s="261">
        <v>1020730</v>
      </c>
      <c r="B685" s="261" t="s">
        <v>841</v>
      </c>
      <c r="C685" s="261">
        <v>1750</v>
      </c>
    </row>
    <row r="686" spans="1:3" s="261" customFormat="1" x14ac:dyDescent="0.25">
      <c r="A686" s="261">
        <v>1020740</v>
      </c>
      <c r="B686" s="261" t="s">
        <v>842</v>
      </c>
      <c r="C686" s="261">
        <v>1900</v>
      </c>
    </row>
    <row r="687" spans="1:3" s="261" customFormat="1" x14ac:dyDescent="0.25">
      <c r="A687" s="261">
        <v>1020750</v>
      </c>
      <c r="B687" s="261" t="s">
        <v>843</v>
      </c>
      <c r="C687" s="261">
        <v>2000</v>
      </c>
    </row>
    <row r="688" spans="1:3" s="261" customFormat="1" x14ac:dyDescent="0.25">
      <c r="A688" s="261">
        <v>1020760</v>
      </c>
      <c r="B688" s="261" t="s">
        <v>844</v>
      </c>
      <c r="C688" s="261">
        <v>1800</v>
      </c>
    </row>
    <row r="689" spans="1:3" s="261" customFormat="1" x14ac:dyDescent="0.25">
      <c r="A689" s="261">
        <v>1020770</v>
      </c>
      <c r="B689" s="261" t="s">
        <v>845</v>
      </c>
      <c r="C689" s="261">
        <v>2200</v>
      </c>
    </row>
    <row r="690" spans="1:3" s="261" customFormat="1" x14ac:dyDescent="0.25">
      <c r="A690" s="261">
        <v>1020780</v>
      </c>
      <c r="B690" s="261" t="s">
        <v>846</v>
      </c>
      <c r="C690" s="261">
        <v>2250</v>
      </c>
    </row>
    <row r="691" spans="1:3" s="261" customFormat="1" x14ac:dyDescent="0.25">
      <c r="A691" s="261">
        <v>1020790</v>
      </c>
      <c r="B691" s="261" t="s">
        <v>847</v>
      </c>
      <c r="C691" s="261">
        <v>2300</v>
      </c>
    </row>
    <row r="692" spans="1:3" s="261" customFormat="1" x14ac:dyDescent="0.25">
      <c r="A692" s="261">
        <v>1020800</v>
      </c>
      <c r="B692" s="261" t="s">
        <v>848</v>
      </c>
      <c r="C692" s="261">
        <v>2400</v>
      </c>
    </row>
    <row r="693" spans="1:3" s="261" customFormat="1" x14ac:dyDescent="0.25">
      <c r="A693" s="261">
        <v>1020810</v>
      </c>
      <c r="B693" s="261" t="s">
        <v>849</v>
      </c>
      <c r="C693" s="261">
        <v>2500</v>
      </c>
    </row>
    <row r="694" spans="1:3" s="261" customFormat="1" x14ac:dyDescent="0.25">
      <c r="A694" s="261">
        <v>1020820</v>
      </c>
      <c r="B694" s="261" t="s">
        <v>850</v>
      </c>
      <c r="C694" s="261">
        <v>2600</v>
      </c>
    </row>
    <row r="695" spans="1:3" s="261" customFormat="1" x14ac:dyDescent="0.25">
      <c r="A695" s="261">
        <v>1020830</v>
      </c>
      <c r="B695" s="261" t="s">
        <v>851</v>
      </c>
      <c r="C695" s="261">
        <v>2700</v>
      </c>
    </row>
    <row r="696" spans="1:3" s="261" customFormat="1" x14ac:dyDescent="0.25">
      <c r="A696" s="261">
        <v>1020840</v>
      </c>
      <c r="B696" s="261" t="s">
        <v>852</v>
      </c>
      <c r="C696" s="261">
        <v>2750</v>
      </c>
    </row>
    <row r="697" spans="1:3" s="261" customFormat="1" x14ac:dyDescent="0.25">
      <c r="A697" s="261">
        <v>1020850</v>
      </c>
      <c r="B697" s="261" t="s">
        <v>853</v>
      </c>
      <c r="C697" s="261">
        <v>2800</v>
      </c>
    </row>
    <row r="698" spans="1:3" s="261" customFormat="1" x14ac:dyDescent="0.25">
      <c r="A698" s="261">
        <v>1020860</v>
      </c>
      <c r="B698" s="261" t="s">
        <v>854</v>
      </c>
      <c r="C698" s="261">
        <v>2900</v>
      </c>
    </row>
    <row r="699" spans="1:3" s="261" customFormat="1" x14ac:dyDescent="0.25">
      <c r="A699" s="261">
        <v>1020870</v>
      </c>
      <c r="B699" s="261" t="s">
        <v>855</v>
      </c>
      <c r="C699" s="261">
        <v>3000</v>
      </c>
    </row>
    <row r="700" spans="1:3" s="261" customFormat="1" x14ac:dyDescent="0.25">
      <c r="A700" s="261">
        <v>1020880</v>
      </c>
      <c r="B700" s="261" t="s">
        <v>856</v>
      </c>
      <c r="C700" s="261">
        <v>3100</v>
      </c>
    </row>
    <row r="701" spans="1:3" s="261" customFormat="1" x14ac:dyDescent="0.25">
      <c r="A701" s="261">
        <v>1020890</v>
      </c>
      <c r="B701" s="261" t="s">
        <v>857</v>
      </c>
      <c r="C701" s="261">
        <v>3200</v>
      </c>
    </row>
    <row r="702" spans="1:3" s="261" customFormat="1" x14ac:dyDescent="0.25">
      <c r="A702" s="261">
        <v>1020900</v>
      </c>
      <c r="B702" s="261" t="s">
        <v>858</v>
      </c>
      <c r="C702" s="261">
        <v>3300</v>
      </c>
    </row>
    <row r="703" spans="1:3" s="261" customFormat="1" x14ac:dyDescent="0.25">
      <c r="A703" s="261">
        <v>1020910</v>
      </c>
      <c r="B703" s="261" t="s">
        <v>859</v>
      </c>
      <c r="C703" s="261">
        <v>3400</v>
      </c>
    </row>
    <row r="704" spans="1:3" s="261" customFormat="1" x14ac:dyDescent="0.25">
      <c r="A704" s="261">
        <v>1020920</v>
      </c>
      <c r="B704" s="261" t="s">
        <v>860</v>
      </c>
      <c r="C704" s="261">
        <v>3250</v>
      </c>
    </row>
    <row r="705" spans="1:3" s="261" customFormat="1" x14ac:dyDescent="0.25">
      <c r="A705" s="261">
        <v>1020930</v>
      </c>
      <c r="B705" s="261" t="s">
        <v>861</v>
      </c>
      <c r="C705" s="261">
        <v>3500</v>
      </c>
    </row>
    <row r="706" spans="1:3" s="261" customFormat="1" x14ac:dyDescent="0.25">
      <c r="A706" s="261">
        <v>1020940</v>
      </c>
      <c r="B706" s="261" t="s">
        <v>862</v>
      </c>
      <c r="C706" s="261">
        <v>1100</v>
      </c>
    </row>
    <row r="707" spans="1:3" s="261" customFormat="1" x14ac:dyDescent="0.25">
      <c r="A707" s="261">
        <v>1020950</v>
      </c>
      <c r="B707" s="261" t="s">
        <v>863</v>
      </c>
      <c r="C707" s="261">
        <v>1200</v>
      </c>
    </row>
    <row r="708" spans="1:3" s="261" customFormat="1" x14ac:dyDescent="0.25">
      <c r="A708" s="261">
        <v>1020960</v>
      </c>
      <c r="B708" s="261" t="s">
        <v>864</v>
      </c>
      <c r="C708" s="261">
        <v>1300</v>
      </c>
    </row>
    <row r="709" spans="1:3" s="261" customFormat="1" x14ac:dyDescent="0.25">
      <c r="A709" s="261">
        <v>1020970</v>
      </c>
      <c r="B709" s="261" t="s">
        <v>865</v>
      </c>
      <c r="C709" s="261">
        <v>1400</v>
      </c>
    </row>
    <row r="710" spans="1:3" s="261" customFormat="1" x14ac:dyDescent="0.25">
      <c r="A710" s="261">
        <v>1020980</v>
      </c>
      <c r="B710" s="261" t="s">
        <v>744</v>
      </c>
      <c r="C710" s="261">
        <v>1500</v>
      </c>
    </row>
    <row r="711" spans="1:3" s="261" customFormat="1" x14ac:dyDescent="0.25">
      <c r="A711" s="261">
        <v>1020990</v>
      </c>
      <c r="B711" s="261" t="s">
        <v>866</v>
      </c>
      <c r="C711" s="261">
        <v>1600</v>
      </c>
    </row>
    <row r="712" spans="1:3" s="261" customFormat="1" x14ac:dyDescent="0.25">
      <c r="A712" s="261">
        <v>1021000</v>
      </c>
      <c r="B712" s="261" t="s">
        <v>867</v>
      </c>
      <c r="C712" s="261">
        <v>1700</v>
      </c>
    </row>
    <row r="713" spans="1:3" s="261" customFormat="1" x14ac:dyDescent="0.25">
      <c r="A713" s="261">
        <v>1021010</v>
      </c>
      <c r="B713" s="261" t="s">
        <v>868</v>
      </c>
      <c r="C713" s="261">
        <v>1800</v>
      </c>
    </row>
    <row r="714" spans="1:3" s="261" customFormat="1" x14ac:dyDescent="0.25">
      <c r="A714" s="261">
        <v>1021020</v>
      </c>
      <c r="B714" s="261" t="s">
        <v>869</v>
      </c>
      <c r="C714" s="261">
        <v>1900</v>
      </c>
    </row>
    <row r="715" spans="1:3" s="261" customFormat="1" x14ac:dyDescent="0.25">
      <c r="A715" s="261">
        <v>1021040</v>
      </c>
      <c r="B715" s="261" t="s">
        <v>870</v>
      </c>
      <c r="C715" s="261">
        <v>2300</v>
      </c>
    </row>
    <row r="716" spans="1:3" s="261" customFormat="1" x14ac:dyDescent="0.25">
      <c r="A716" s="261">
        <v>1021050</v>
      </c>
      <c r="B716" s="261" t="s">
        <v>871</v>
      </c>
      <c r="C716" s="261">
        <v>2400</v>
      </c>
    </row>
    <row r="717" spans="1:3" s="261" customFormat="1" x14ac:dyDescent="0.25">
      <c r="A717" s="261">
        <v>1021060</v>
      </c>
      <c r="B717" s="261" t="s">
        <v>872</v>
      </c>
      <c r="C717" s="261">
        <v>2600</v>
      </c>
    </row>
    <row r="718" spans="1:3" s="261" customFormat="1" x14ac:dyDescent="0.25">
      <c r="A718" s="261">
        <v>1021070</v>
      </c>
      <c r="B718" s="261" t="s">
        <v>873</v>
      </c>
      <c r="C718" s="261">
        <v>2700</v>
      </c>
    </row>
    <row r="719" spans="1:3" s="261" customFormat="1" x14ac:dyDescent="0.25">
      <c r="A719" s="261">
        <v>1021080</v>
      </c>
      <c r="B719" s="261" t="s">
        <v>874</v>
      </c>
      <c r="C719" s="261">
        <v>2800</v>
      </c>
    </row>
    <row r="720" spans="1:3" s="261" customFormat="1" x14ac:dyDescent="0.25">
      <c r="A720" s="261">
        <v>1021090</v>
      </c>
      <c r="B720" s="261" t="s">
        <v>875</v>
      </c>
      <c r="C720" s="261">
        <v>2900</v>
      </c>
    </row>
    <row r="721" spans="1:3" s="261" customFormat="1" x14ac:dyDescent="0.25">
      <c r="A721" s="261">
        <v>1021100</v>
      </c>
      <c r="B721" s="261" t="s">
        <v>876</v>
      </c>
      <c r="C721" s="261">
        <v>3100</v>
      </c>
    </row>
    <row r="722" spans="1:3" s="261" customFormat="1" x14ac:dyDescent="0.25">
      <c r="A722" s="261">
        <v>1021110</v>
      </c>
      <c r="B722" s="261" t="s">
        <v>877</v>
      </c>
      <c r="C722" s="261">
        <v>3200</v>
      </c>
    </row>
    <row r="723" spans="1:3" s="261" customFormat="1" x14ac:dyDescent="0.25">
      <c r="A723" s="261">
        <v>1021120</v>
      </c>
      <c r="B723" s="261" t="s">
        <v>878</v>
      </c>
      <c r="C723" s="261">
        <v>3300</v>
      </c>
    </row>
    <row r="724" spans="1:3" s="261" customFormat="1" x14ac:dyDescent="0.25">
      <c r="A724" s="261">
        <v>1021130</v>
      </c>
      <c r="B724" s="261" t="s">
        <v>879</v>
      </c>
      <c r="C724" s="261">
        <v>3400</v>
      </c>
    </row>
    <row r="725" spans="1:3" s="261" customFormat="1" x14ac:dyDescent="0.25">
      <c r="A725" s="261">
        <v>1021140</v>
      </c>
      <c r="B725" s="261" t="s">
        <v>880</v>
      </c>
      <c r="C725" s="261">
        <v>2100</v>
      </c>
    </row>
    <row r="726" spans="1:3" s="261" customFormat="1" x14ac:dyDescent="0.25">
      <c r="A726" s="261">
        <v>1021150</v>
      </c>
      <c r="B726" s="261" t="s">
        <v>881</v>
      </c>
      <c r="C726" s="261">
        <v>2100</v>
      </c>
    </row>
    <row r="727" spans="1:3" s="261" customFormat="1" x14ac:dyDescent="0.25">
      <c r="A727" s="261">
        <v>1021170</v>
      </c>
      <c r="B727" s="261" t="s">
        <v>882</v>
      </c>
      <c r="C727" s="261">
        <v>27.99</v>
      </c>
    </row>
    <row r="728" spans="1:3" s="261" customFormat="1" x14ac:dyDescent="0.25">
      <c r="A728" s="261">
        <v>1021180</v>
      </c>
      <c r="B728" s="261" t="s">
        <v>883</v>
      </c>
      <c r="C728" s="261">
        <v>999</v>
      </c>
    </row>
    <row r="729" spans="1:3" s="261" customFormat="1" x14ac:dyDescent="0.25">
      <c r="A729" s="261">
        <v>1021190</v>
      </c>
      <c r="B729" s="261" t="s">
        <v>884</v>
      </c>
      <c r="C729" s="261">
        <v>799</v>
      </c>
    </row>
    <row r="730" spans="1:3" s="261" customFormat="1" x14ac:dyDescent="0.25">
      <c r="A730" s="261">
        <v>1021200</v>
      </c>
      <c r="B730" s="261" t="s">
        <v>885</v>
      </c>
      <c r="C730" s="261">
        <v>599</v>
      </c>
    </row>
    <row r="731" spans="1:3" s="261" customFormat="1" x14ac:dyDescent="0.25">
      <c r="A731" s="261">
        <v>1021210</v>
      </c>
      <c r="B731" s="261" t="s">
        <v>886</v>
      </c>
      <c r="C731" s="261">
        <v>399</v>
      </c>
    </row>
    <row r="732" spans="1:3" s="261" customFormat="1" x14ac:dyDescent="0.25">
      <c r="A732" s="261">
        <v>1021220</v>
      </c>
      <c r="B732" s="261" t="s">
        <v>887</v>
      </c>
      <c r="C732" s="261">
        <v>299</v>
      </c>
    </row>
    <row r="733" spans="1:3" s="261" customFormat="1" x14ac:dyDescent="0.25">
      <c r="A733" s="261">
        <v>1021230</v>
      </c>
      <c r="B733" s="261" t="s">
        <v>888</v>
      </c>
      <c r="C733" s="261">
        <v>999</v>
      </c>
    </row>
    <row r="734" spans="1:3" s="261" customFormat="1" x14ac:dyDescent="0.25">
      <c r="A734" s="261">
        <v>1021240</v>
      </c>
      <c r="B734" s="261" t="s">
        <v>889</v>
      </c>
      <c r="C734" s="261">
        <v>799</v>
      </c>
    </row>
    <row r="735" spans="1:3" s="261" customFormat="1" x14ac:dyDescent="0.25">
      <c r="A735" s="261">
        <v>1021250</v>
      </c>
      <c r="B735" s="261" t="s">
        <v>890</v>
      </c>
      <c r="C735" s="261">
        <v>599</v>
      </c>
    </row>
    <row r="736" spans="1:3" s="261" customFormat="1" x14ac:dyDescent="0.25">
      <c r="A736" s="261">
        <v>1021260</v>
      </c>
      <c r="B736" s="261" t="s">
        <v>891</v>
      </c>
      <c r="C736" s="261">
        <v>399</v>
      </c>
    </row>
    <row r="737" spans="1:3" s="261" customFormat="1" x14ac:dyDescent="0.25">
      <c r="A737" s="261">
        <v>1021270</v>
      </c>
      <c r="B737" s="261" t="s">
        <v>892</v>
      </c>
      <c r="C737" s="261">
        <v>299</v>
      </c>
    </row>
    <row r="738" spans="1:3" s="261" customFormat="1" x14ac:dyDescent="0.25">
      <c r="A738" s="261">
        <v>1021280</v>
      </c>
      <c r="B738" s="261" t="s">
        <v>893</v>
      </c>
      <c r="C738" s="261">
        <v>275</v>
      </c>
    </row>
    <row r="739" spans="1:3" s="261" customFormat="1" x14ac:dyDescent="0.25">
      <c r="A739" s="261">
        <v>1021291</v>
      </c>
      <c r="B739" s="261" t="s">
        <v>894</v>
      </c>
      <c r="C739" s="261">
        <v>275</v>
      </c>
    </row>
    <row r="740" spans="1:3" s="261" customFormat="1" x14ac:dyDescent="0.25">
      <c r="A740" s="261">
        <v>1021300</v>
      </c>
      <c r="B740" s="261" t="s">
        <v>895</v>
      </c>
      <c r="C740" s="261">
        <v>275</v>
      </c>
    </row>
    <row r="741" spans="1:3" s="261" customFormat="1" x14ac:dyDescent="0.25">
      <c r="A741" s="261">
        <v>1021311</v>
      </c>
      <c r="B741" s="261" t="s">
        <v>896</v>
      </c>
      <c r="C741" s="261">
        <v>275</v>
      </c>
    </row>
    <row r="742" spans="1:3" s="261" customFormat="1" x14ac:dyDescent="0.25">
      <c r="A742" s="261">
        <v>1021320</v>
      </c>
      <c r="B742" s="261" t="s">
        <v>897</v>
      </c>
      <c r="C742" s="261">
        <v>550</v>
      </c>
    </row>
    <row r="743" spans="1:3" s="261" customFormat="1" x14ac:dyDescent="0.25">
      <c r="A743" s="261">
        <v>1021340</v>
      </c>
      <c r="B743" s="261" t="s">
        <v>898</v>
      </c>
      <c r="C743" s="261">
        <v>15.99</v>
      </c>
    </row>
    <row r="744" spans="1:3" s="261" customFormat="1" x14ac:dyDescent="0.25">
      <c r="A744" s="261">
        <v>1021350</v>
      </c>
      <c r="B744" s="261" t="s">
        <v>899</v>
      </c>
      <c r="C744" s="261">
        <v>59.99</v>
      </c>
    </row>
    <row r="745" spans="1:3" s="261" customFormat="1" x14ac:dyDescent="0.25">
      <c r="A745" s="261">
        <v>1021380</v>
      </c>
      <c r="B745" s="261" t="s">
        <v>900</v>
      </c>
      <c r="C745" s="261">
        <v>199</v>
      </c>
    </row>
    <row r="746" spans="1:3" s="261" customFormat="1" x14ac:dyDescent="0.25">
      <c r="A746" s="261">
        <v>1021390</v>
      </c>
      <c r="B746" s="261" t="s">
        <v>901</v>
      </c>
      <c r="C746" s="261">
        <v>199</v>
      </c>
    </row>
    <row r="747" spans="1:3" s="261" customFormat="1" x14ac:dyDescent="0.25">
      <c r="A747" s="261">
        <v>1021400</v>
      </c>
      <c r="B747" s="261" t="s">
        <v>902</v>
      </c>
      <c r="C747" s="261">
        <v>149</v>
      </c>
    </row>
    <row r="748" spans="1:3" s="261" customFormat="1" x14ac:dyDescent="0.25">
      <c r="A748" s="261">
        <v>1021410</v>
      </c>
      <c r="B748" s="261" t="s">
        <v>903</v>
      </c>
      <c r="C748" s="261">
        <v>299</v>
      </c>
    </row>
    <row r="749" spans="1:3" s="261" customFormat="1" x14ac:dyDescent="0.25">
      <c r="A749" s="261">
        <v>1021420</v>
      </c>
      <c r="B749" s="261" t="s">
        <v>904</v>
      </c>
      <c r="C749" s="261">
        <v>41.99</v>
      </c>
    </row>
    <row r="750" spans="1:3" s="261" customFormat="1" x14ac:dyDescent="0.25">
      <c r="A750" s="261">
        <v>1021430</v>
      </c>
      <c r="B750" s="261" t="s">
        <v>905</v>
      </c>
      <c r="C750" s="261">
        <v>35.99</v>
      </c>
    </row>
    <row r="751" spans="1:3" s="261" customFormat="1" x14ac:dyDescent="0.25">
      <c r="A751" s="261">
        <v>1021440</v>
      </c>
      <c r="B751" s="261" t="s">
        <v>906</v>
      </c>
      <c r="C751" s="261">
        <v>149</v>
      </c>
    </row>
    <row r="752" spans="1:3" s="261" customFormat="1" x14ac:dyDescent="0.25">
      <c r="A752" s="261">
        <v>1021450</v>
      </c>
      <c r="B752" s="261" t="s">
        <v>907</v>
      </c>
      <c r="C752" s="261">
        <v>299</v>
      </c>
    </row>
    <row r="753" spans="1:3" s="261" customFormat="1" x14ac:dyDescent="0.25">
      <c r="A753" s="261">
        <v>1021630</v>
      </c>
      <c r="B753" s="261" t="s">
        <v>908</v>
      </c>
      <c r="C753" s="261">
        <v>899</v>
      </c>
    </row>
    <row r="754" spans="1:3" s="261" customFormat="1" x14ac:dyDescent="0.25">
      <c r="A754" s="261">
        <v>1021640</v>
      </c>
      <c r="B754" s="261" t="s">
        <v>909</v>
      </c>
      <c r="C754" s="261">
        <v>699</v>
      </c>
    </row>
    <row r="755" spans="1:3" s="261" customFormat="1" x14ac:dyDescent="0.25">
      <c r="A755" s="261">
        <v>1021650</v>
      </c>
      <c r="B755" s="261" t="s">
        <v>910</v>
      </c>
      <c r="C755" s="261">
        <v>499</v>
      </c>
    </row>
    <row r="756" spans="1:3" s="261" customFormat="1" x14ac:dyDescent="0.25">
      <c r="A756" s="261">
        <v>1021660</v>
      </c>
      <c r="B756" s="261" t="s">
        <v>911</v>
      </c>
      <c r="C756" s="261">
        <v>899</v>
      </c>
    </row>
    <row r="757" spans="1:3" s="261" customFormat="1" x14ac:dyDescent="0.25">
      <c r="A757" s="261">
        <v>1021670</v>
      </c>
      <c r="B757" s="261" t="s">
        <v>912</v>
      </c>
      <c r="C757" s="261">
        <v>699</v>
      </c>
    </row>
    <row r="758" spans="1:3" s="261" customFormat="1" x14ac:dyDescent="0.25">
      <c r="A758" s="261">
        <v>1021680</v>
      </c>
      <c r="B758" s="261" t="s">
        <v>913</v>
      </c>
      <c r="C758" s="261">
        <v>499</v>
      </c>
    </row>
    <row r="759" spans="1:3" s="261" customFormat="1" x14ac:dyDescent="0.25">
      <c r="A759" s="261">
        <v>1021690</v>
      </c>
      <c r="B759" s="261" t="s">
        <v>914</v>
      </c>
      <c r="C759" s="261">
        <v>0</v>
      </c>
    </row>
    <row r="760" spans="1:3" s="261" customFormat="1" x14ac:dyDescent="0.25">
      <c r="A760" s="261">
        <v>1021700</v>
      </c>
      <c r="B760" s="261" t="s">
        <v>915</v>
      </c>
      <c r="C760" s="261">
        <v>0</v>
      </c>
    </row>
    <row r="761" spans="1:3" s="261" customFormat="1" x14ac:dyDescent="0.25">
      <c r="A761" s="261">
        <v>1021710</v>
      </c>
      <c r="B761" s="261" t="s">
        <v>916</v>
      </c>
      <c r="C761" s="261">
        <v>0</v>
      </c>
    </row>
    <row r="762" spans="1:3" s="261" customFormat="1" x14ac:dyDescent="0.25">
      <c r="A762" s="261">
        <v>1021720</v>
      </c>
      <c r="B762" s="261" t="s">
        <v>917</v>
      </c>
      <c r="C762" s="261">
        <v>0</v>
      </c>
    </row>
    <row r="763" spans="1:3" s="261" customFormat="1" x14ac:dyDescent="0.25">
      <c r="A763" s="261">
        <v>1021730</v>
      </c>
      <c r="B763" s="261" t="s">
        <v>918</v>
      </c>
      <c r="C763" s="261">
        <v>0</v>
      </c>
    </row>
    <row r="764" spans="1:3" s="261" customFormat="1" x14ac:dyDescent="0.25">
      <c r="A764" s="261">
        <v>1021740</v>
      </c>
      <c r="B764" s="261" t="s">
        <v>919</v>
      </c>
      <c r="C764" s="261">
        <v>87.99</v>
      </c>
    </row>
    <row r="765" spans="1:3" s="261" customFormat="1" x14ac:dyDescent="0.25">
      <c r="A765" s="261">
        <v>1021760</v>
      </c>
      <c r="B765" s="261" t="s">
        <v>920</v>
      </c>
      <c r="C765" s="261">
        <v>39.99</v>
      </c>
    </row>
    <row r="766" spans="1:3" s="261" customFormat="1" x14ac:dyDescent="0.25">
      <c r="A766" s="261">
        <v>1021770</v>
      </c>
      <c r="B766" s="261" t="s">
        <v>921</v>
      </c>
      <c r="C766" s="261">
        <v>79.989999999999995</v>
      </c>
    </row>
    <row r="767" spans="1:3" s="261" customFormat="1" x14ac:dyDescent="0.25">
      <c r="A767" s="261">
        <v>1021811</v>
      </c>
      <c r="B767" s="261" t="s">
        <v>922</v>
      </c>
      <c r="C767" s="261">
        <v>19.989999999999998</v>
      </c>
    </row>
    <row r="768" spans="1:3" s="261" customFormat="1" x14ac:dyDescent="0.25">
      <c r="A768" s="261">
        <v>1021831</v>
      </c>
      <c r="B768" s="261" t="s">
        <v>923</v>
      </c>
      <c r="C768" s="261">
        <v>24.99</v>
      </c>
    </row>
    <row r="769" spans="1:3" s="261" customFormat="1" x14ac:dyDescent="0.25">
      <c r="A769" s="261">
        <v>1021851</v>
      </c>
      <c r="B769" s="261" t="s">
        <v>924</v>
      </c>
      <c r="C769" s="261">
        <v>35.99</v>
      </c>
    </row>
    <row r="770" spans="1:3" s="261" customFormat="1" x14ac:dyDescent="0.25">
      <c r="A770" s="261">
        <v>1021871</v>
      </c>
      <c r="B770" s="261" t="s">
        <v>925</v>
      </c>
      <c r="C770" s="261">
        <v>19.989999999999998</v>
      </c>
    </row>
    <row r="771" spans="1:3" s="261" customFormat="1" x14ac:dyDescent="0.25">
      <c r="A771" s="261">
        <v>1021901</v>
      </c>
      <c r="B771" s="261" t="s">
        <v>926</v>
      </c>
      <c r="C771" s="261">
        <v>29.99</v>
      </c>
    </row>
    <row r="772" spans="1:3" s="261" customFormat="1" x14ac:dyDescent="0.25">
      <c r="A772" s="261">
        <v>1021911</v>
      </c>
      <c r="B772" s="261" t="s">
        <v>927</v>
      </c>
      <c r="C772" s="261">
        <v>39.99</v>
      </c>
    </row>
    <row r="773" spans="1:3" s="261" customFormat="1" x14ac:dyDescent="0.25">
      <c r="A773" s="261">
        <v>1021921</v>
      </c>
      <c r="B773" s="261" t="s">
        <v>928</v>
      </c>
      <c r="C773" s="261">
        <v>29.99</v>
      </c>
    </row>
    <row r="774" spans="1:3" s="261" customFormat="1" x14ac:dyDescent="0.25">
      <c r="A774" s="261">
        <v>1021931</v>
      </c>
      <c r="B774" s="261" t="s">
        <v>929</v>
      </c>
      <c r="C774" s="261">
        <v>43.99</v>
      </c>
    </row>
    <row r="775" spans="1:3" s="261" customFormat="1" x14ac:dyDescent="0.25">
      <c r="A775" s="261">
        <v>1021941</v>
      </c>
      <c r="B775" s="261" t="s">
        <v>930</v>
      </c>
      <c r="C775" s="261">
        <v>29.99</v>
      </c>
    </row>
    <row r="776" spans="1:3" s="261" customFormat="1" x14ac:dyDescent="0.25">
      <c r="A776" s="261">
        <v>1021971</v>
      </c>
      <c r="B776" s="261" t="s">
        <v>931</v>
      </c>
      <c r="C776" s="261">
        <v>14.99</v>
      </c>
    </row>
    <row r="777" spans="1:3" s="261" customFormat="1" x14ac:dyDescent="0.25">
      <c r="A777" s="261">
        <v>1021990</v>
      </c>
      <c r="B777" s="261" t="s">
        <v>932</v>
      </c>
      <c r="C777" s="261">
        <v>1861.75</v>
      </c>
    </row>
    <row r="778" spans="1:3" s="261" customFormat="1" x14ac:dyDescent="0.25">
      <c r="A778" s="261">
        <v>1022000</v>
      </c>
      <c r="B778" s="261" t="s">
        <v>933</v>
      </c>
      <c r="C778" s="261">
        <v>10.15</v>
      </c>
    </row>
    <row r="779" spans="1:3" s="261" customFormat="1" x14ac:dyDescent="0.25">
      <c r="A779" s="261">
        <v>1022010</v>
      </c>
      <c r="B779" s="261" t="s">
        <v>934</v>
      </c>
      <c r="C779" s="261">
        <v>12.75</v>
      </c>
    </row>
    <row r="780" spans="1:3" s="261" customFormat="1" x14ac:dyDescent="0.25">
      <c r="A780" s="261">
        <v>1022020</v>
      </c>
      <c r="B780" s="261" t="s">
        <v>935</v>
      </c>
      <c r="C780" s="261">
        <v>12.35</v>
      </c>
    </row>
    <row r="781" spans="1:3" s="261" customFormat="1" x14ac:dyDescent="0.25">
      <c r="A781" s="261">
        <v>1022070</v>
      </c>
      <c r="B781" s="261" t="s">
        <v>936</v>
      </c>
      <c r="C781" s="261">
        <v>2.5</v>
      </c>
    </row>
    <row r="782" spans="1:3" s="261" customFormat="1" x14ac:dyDescent="0.25">
      <c r="A782" s="261">
        <v>1022100</v>
      </c>
      <c r="B782" s="261" t="s">
        <v>937</v>
      </c>
      <c r="C782" s="261">
        <v>2229</v>
      </c>
    </row>
    <row r="783" spans="1:3" s="261" customFormat="1" x14ac:dyDescent="0.25">
      <c r="A783" s="261">
        <v>1022110</v>
      </c>
      <c r="B783" s="261" t="s">
        <v>938</v>
      </c>
      <c r="C783" s="261">
        <v>2229</v>
      </c>
    </row>
    <row r="784" spans="1:3" s="261" customFormat="1" x14ac:dyDescent="0.25">
      <c r="A784" s="261">
        <v>1022140</v>
      </c>
      <c r="B784" s="261" t="s">
        <v>939</v>
      </c>
      <c r="C784" s="261">
        <v>0</v>
      </c>
    </row>
    <row r="785" spans="1:3" s="261" customFormat="1" x14ac:dyDescent="0.25">
      <c r="A785" s="261">
        <v>1022170</v>
      </c>
      <c r="B785" s="261" t="s">
        <v>940</v>
      </c>
      <c r="C785" s="261">
        <v>18.95</v>
      </c>
    </row>
    <row r="786" spans="1:3" s="261" customFormat="1" x14ac:dyDescent="0.25">
      <c r="A786" s="261">
        <v>1022180</v>
      </c>
      <c r="B786" s="261" t="s">
        <v>941</v>
      </c>
      <c r="C786" s="261">
        <v>25.89</v>
      </c>
    </row>
    <row r="787" spans="1:3" s="261" customFormat="1" x14ac:dyDescent="0.25">
      <c r="A787" s="261">
        <v>1022210</v>
      </c>
      <c r="B787" s="261" t="s">
        <v>942</v>
      </c>
      <c r="C787" s="261">
        <v>2229</v>
      </c>
    </row>
    <row r="788" spans="1:3" s="261" customFormat="1" x14ac:dyDescent="0.25">
      <c r="A788" s="261">
        <v>1022220</v>
      </c>
      <c r="B788" s="261" t="s">
        <v>943</v>
      </c>
      <c r="C788" s="261">
        <v>557.25</v>
      </c>
    </row>
    <row r="789" spans="1:3" s="261" customFormat="1" x14ac:dyDescent="0.25">
      <c r="A789" s="261">
        <v>1022240</v>
      </c>
      <c r="B789" s="261" t="s">
        <v>915</v>
      </c>
      <c r="C789" s="261">
        <v>0</v>
      </c>
    </row>
    <row r="790" spans="1:3" s="261" customFormat="1" x14ac:dyDescent="0.25">
      <c r="A790" s="261">
        <v>1022250</v>
      </c>
      <c r="B790" s="261" t="s">
        <v>944</v>
      </c>
      <c r="C790" s="261">
        <v>0</v>
      </c>
    </row>
    <row r="791" spans="1:3" s="261" customFormat="1" x14ac:dyDescent="0.25">
      <c r="A791" s="261">
        <v>1022260</v>
      </c>
      <c r="B791" s="261" t="s">
        <v>945</v>
      </c>
      <c r="C791" s="261">
        <v>0</v>
      </c>
    </row>
    <row r="792" spans="1:3" s="261" customFormat="1" x14ac:dyDescent="0.25">
      <c r="A792" s="261">
        <v>1022270</v>
      </c>
      <c r="B792" s="261" t="s">
        <v>946</v>
      </c>
      <c r="C792" s="261">
        <v>0</v>
      </c>
    </row>
    <row r="793" spans="1:3" s="261" customFormat="1" x14ac:dyDescent="0.25">
      <c r="A793" s="261">
        <v>1022280</v>
      </c>
      <c r="B793" s="261" t="s">
        <v>947</v>
      </c>
      <c r="C793" s="261">
        <v>0</v>
      </c>
    </row>
    <row r="794" spans="1:3" s="261" customFormat="1" x14ac:dyDescent="0.25">
      <c r="A794" s="261">
        <v>1022290</v>
      </c>
      <c r="B794" s="261" t="s">
        <v>948</v>
      </c>
      <c r="C794" s="261">
        <v>0</v>
      </c>
    </row>
    <row r="795" spans="1:3" s="261" customFormat="1" x14ac:dyDescent="0.25">
      <c r="A795" s="261">
        <v>1022320</v>
      </c>
      <c r="B795" s="261" t="s">
        <v>949</v>
      </c>
      <c r="C795" s="261">
        <v>225</v>
      </c>
    </row>
    <row r="796" spans="1:3" s="261" customFormat="1" x14ac:dyDescent="0.25">
      <c r="A796" s="261">
        <v>1022330</v>
      </c>
      <c r="B796" s="261" t="s">
        <v>950</v>
      </c>
      <c r="C796" s="261">
        <v>250</v>
      </c>
    </row>
    <row r="797" spans="1:3" s="261" customFormat="1" x14ac:dyDescent="0.25">
      <c r="A797" s="261">
        <v>1022390</v>
      </c>
      <c r="B797" s="261" t="s">
        <v>1616</v>
      </c>
      <c r="C797" s="261">
        <v>41.99</v>
      </c>
    </row>
    <row r="798" spans="1:3" s="261" customFormat="1" x14ac:dyDescent="0.25">
      <c r="A798" s="261">
        <v>1022570</v>
      </c>
      <c r="B798" s="261" t="s">
        <v>951</v>
      </c>
      <c r="C798" s="261">
        <v>1199</v>
      </c>
    </row>
    <row r="799" spans="1:3" s="261" customFormat="1" x14ac:dyDescent="0.25">
      <c r="A799" s="261">
        <v>1022600</v>
      </c>
      <c r="B799" s="261" t="s">
        <v>952</v>
      </c>
      <c r="C799" s="261">
        <v>2.4</v>
      </c>
    </row>
    <row r="800" spans="1:3" s="261" customFormat="1" x14ac:dyDescent="0.25">
      <c r="A800" s="261">
        <v>1022611</v>
      </c>
      <c r="B800" s="261" t="s">
        <v>953</v>
      </c>
      <c r="C800" s="261">
        <v>176.99</v>
      </c>
    </row>
    <row r="801" spans="1:3" s="261" customFormat="1" x14ac:dyDescent="0.25">
      <c r="A801" s="261">
        <v>1022621</v>
      </c>
      <c r="B801" s="261" t="s">
        <v>954</v>
      </c>
      <c r="C801" s="261">
        <v>219.99</v>
      </c>
    </row>
    <row r="802" spans="1:3" s="261" customFormat="1" x14ac:dyDescent="0.25">
      <c r="A802" s="261">
        <v>1022660</v>
      </c>
      <c r="B802" s="261" t="s">
        <v>955</v>
      </c>
      <c r="C802" s="261">
        <v>1398</v>
      </c>
    </row>
    <row r="803" spans="1:3" s="261" customFormat="1" x14ac:dyDescent="0.25">
      <c r="A803" s="261">
        <v>1022670</v>
      </c>
      <c r="B803" s="261" t="s">
        <v>956</v>
      </c>
      <c r="C803" s="261">
        <v>1550</v>
      </c>
    </row>
    <row r="804" spans="1:3" s="261" customFormat="1" x14ac:dyDescent="0.25">
      <c r="A804" s="261">
        <v>1022690</v>
      </c>
      <c r="B804" s="261" t="s">
        <v>957</v>
      </c>
      <c r="C804" s="261">
        <v>200</v>
      </c>
    </row>
    <row r="805" spans="1:3" s="261" customFormat="1" x14ac:dyDescent="0.25">
      <c r="A805" s="261">
        <v>1022730</v>
      </c>
      <c r="B805" s="261" t="s">
        <v>958</v>
      </c>
      <c r="C805" s="261">
        <v>9.99</v>
      </c>
    </row>
    <row r="806" spans="1:3" s="261" customFormat="1" x14ac:dyDescent="0.25">
      <c r="A806" s="261">
        <v>1022790</v>
      </c>
      <c r="B806" s="261" t="s">
        <v>959</v>
      </c>
      <c r="C806" s="261">
        <v>88.99</v>
      </c>
    </row>
    <row r="807" spans="1:3" s="261" customFormat="1" x14ac:dyDescent="0.25">
      <c r="A807" s="261">
        <v>1022830</v>
      </c>
      <c r="B807" s="261" t="s">
        <v>960</v>
      </c>
      <c r="C807" s="261">
        <v>349</v>
      </c>
    </row>
    <row r="808" spans="1:3" s="261" customFormat="1" x14ac:dyDescent="0.25">
      <c r="A808" s="261">
        <v>1022840</v>
      </c>
      <c r="B808" s="261" t="s">
        <v>961</v>
      </c>
      <c r="C808" s="261">
        <v>349</v>
      </c>
    </row>
    <row r="809" spans="1:3" s="261" customFormat="1" x14ac:dyDescent="0.25">
      <c r="A809" s="261">
        <v>1022850</v>
      </c>
      <c r="B809" s="261" t="s">
        <v>962</v>
      </c>
      <c r="C809" s="261">
        <v>549</v>
      </c>
    </row>
    <row r="810" spans="1:3" s="261" customFormat="1" x14ac:dyDescent="0.25">
      <c r="A810" s="261">
        <v>1022860</v>
      </c>
      <c r="B810" s="261" t="s">
        <v>963</v>
      </c>
      <c r="C810" s="261">
        <v>399</v>
      </c>
    </row>
    <row r="811" spans="1:3" s="261" customFormat="1" x14ac:dyDescent="0.25">
      <c r="A811" s="261">
        <v>1022900</v>
      </c>
      <c r="B811" s="261" t="s">
        <v>964</v>
      </c>
      <c r="C811" s="261">
        <v>319.99</v>
      </c>
    </row>
    <row r="812" spans="1:3" s="261" customFormat="1" x14ac:dyDescent="0.25">
      <c r="A812" s="261">
        <v>1022910</v>
      </c>
      <c r="B812" s="261" t="s">
        <v>965</v>
      </c>
      <c r="C812" s="261">
        <v>319.99</v>
      </c>
    </row>
    <row r="813" spans="1:3" s="261" customFormat="1" x14ac:dyDescent="0.25">
      <c r="A813" s="261">
        <v>1022920</v>
      </c>
      <c r="B813" s="261" t="s">
        <v>966</v>
      </c>
      <c r="C813" s="261">
        <v>319.99</v>
      </c>
    </row>
    <row r="814" spans="1:3" s="261" customFormat="1" x14ac:dyDescent="0.25">
      <c r="A814" s="261">
        <v>1022930</v>
      </c>
      <c r="B814" s="261" t="s">
        <v>967</v>
      </c>
      <c r="C814" s="261">
        <v>319.99</v>
      </c>
    </row>
    <row r="815" spans="1:3" s="261" customFormat="1" x14ac:dyDescent="0.25">
      <c r="A815" s="261">
        <v>1022940</v>
      </c>
      <c r="B815" s="261" t="s">
        <v>968</v>
      </c>
      <c r="C815" s="261">
        <v>319.99</v>
      </c>
    </row>
    <row r="816" spans="1:3" s="261" customFormat="1" x14ac:dyDescent="0.25">
      <c r="A816" s="261">
        <v>1022950</v>
      </c>
      <c r="B816" s="261" t="s">
        <v>969</v>
      </c>
      <c r="C816" s="261">
        <v>319.99</v>
      </c>
    </row>
    <row r="817" spans="1:3" s="261" customFormat="1" x14ac:dyDescent="0.25">
      <c r="A817" s="261">
        <v>1022980</v>
      </c>
      <c r="B817" s="261" t="s">
        <v>970</v>
      </c>
      <c r="C817" s="261">
        <v>1059</v>
      </c>
    </row>
    <row r="818" spans="1:3" s="261" customFormat="1" x14ac:dyDescent="0.25">
      <c r="A818" s="261">
        <v>1022990</v>
      </c>
      <c r="B818" s="261" t="s">
        <v>971</v>
      </c>
      <c r="C818" s="261">
        <v>399</v>
      </c>
    </row>
    <row r="819" spans="1:3" s="261" customFormat="1" x14ac:dyDescent="0.25">
      <c r="A819" s="261">
        <v>1023000</v>
      </c>
      <c r="B819" s="261" t="s">
        <v>972</v>
      </c>
      <c r="C819" s="261">
        <v>525.99</v>
      </c>
    </row>
    <row r="820" spans="1:3" s="261" customFormat="1" x14ac:dyDescent="0.25">
      <c r="A820" s="261">
        <v>1023010</v>
      </c>
      <c r="B820" s="261" t="s">
        <v>973</v>
      </c>
      <c r="C820" s="261">
        <v>149.99</v>
      </c>
    </row>
    <row r="821" spans="1:3" s="261" customFormat="1" x14ac:dyDescent="0.25">
      <c r="A821" s="261">
        <v>1023020</v>
      </c>
      <c r="B821" s="261" t="s">
        <v>974</v>
      </c>
      <c r="C821" s="261">
        <v>1820.99</v>
      </c>
    </row>
    <row r="822" spans="1:3" s="261" customFormat="1" x14ac:dyDescent="0.25">
      <c r="A822" s="261">
        <v>1023050</v>
      </c>
      <c r="B822" s="261" t="s">
        <v>975</v>
      </c>
      <c r="C822" s="261">
        <v>4790</v>
      </c>
    </row>
    <row r="823" spans="1:3" s="261" customFormat="1" x14ac:dyDescent="0.25">
      <c r="A823" s="261">
        <v>1023060</v>
      </c>
      <c r="B823" s="261" t="s">
        <v>976</v>
      </c>
      <c r="C823" s="261">
        <v>4990</v>
      </c>
    </row>
    <row r="824" spans="1:3" s="261" customFormat="1" x14ac:dyDescent="0.25">
      <c r="A824" s="261">
        <v>1023070</v>
      </c>
      <c r="B824" s="261" t="s">
        <v>977</v>
      </c>
      <c r="C824" s="261">
        <v>5290</v>
      </c>
    </row>
    <row r="825" spans="1:3" s="261" customFormat="1" x14ac:dyDescent="0.25">
      <c r="A825" s="261">
        <v>1023080</v>
      </c>
      <c r="B825" s="261" t="s">
        <v>978</v>
      </c>
      <c r="C825" s="261">
        <v>45</v>
      </c>
    </row>
    <row r="826" spans="1:3" s="261" customFormat="1" x14ac:dyDescent="0.25">
      <c r="A826" s="261">
        <v>1023090</v>
      </c>
      <c r="B826" s="261" t="s">
        <v>979</v>
      </c>
      <c r="C826" s="261">
        <v>45</v>
      </c>
    </row>
    <row r="827" spans="1:3" s="261" customFormat="1" x14ac:dyDescent="0.25">
      <c r="A827" s="261">
        <v>1023100</v>
      </c>
      <c r="B827" s="261" t="s">
        <v>980</v>
      </c>
      <c r="C827" s="261">
        <v>88</v>
      </c>
    </row>
    <row r="828" spans="1:3" s="261" customFormat="1" x14ac:dyDescent="0.25">
      <c r="A828" s="261">
        <v>1023110</v>
      </c>
      <c r="B828" s="261" t="s">
        <v>981</v>
      </c>
      <c r="C828" s="261">
        <v>75</v>
      </c>
    </row>
    <row r="829" spans="1:3" s="261" customFormat="1" x14ac:dyDescent="0.25">
      <c r="A829" s="261">
        <v>1023120</v>
      </c>
      <c r="B829" s="261" t="s">
        <v>982</v>
      </c>
      <c r="C829" s="261">
        <v>9</v>
      </c>
    </row>
    <row r="830" spans="1:3" s="261" customFormat="1" x14ac:dyDescent="0.25">
      <c r="A830" s="261">
        <v>1023140</v>
      </c>
      <c r="B830" s="261" t="s">
        <v>983</v>
      </c>
      <c r="C830" s="261">
        <v>38</v>
      </c>
    </row>
    <row r="831" spans="1:3" s="261" customFormat="1" x14ac:dyDescent="0.25">
      <c r="A831" s="261">
        <v>1023150</v>
      </c>
      <c r="B831" s="261" t="s">
        <v>984</v>
      </c>
      <c r="C831" s="261">
        <v>475</v>
      </c>
    </row>
    <row r="832" spans="1:3" s="261" customFormat="1" x14ac:dyDescent="0.25">
      <c r="A832" s="261">
        <v>1023160</v>
      </c>
      <c r="B832" s="261" t="s">
        <v>985</v>
      </c>
      <c r="C832" s="261">
        <v>475</v>
      </c>
    </row>
    <row r="833" spans="1:3" s="261" customFormat="1" x14ac:dyDescent="0.25">
      <c r="A833" s="261">
        <v>1023170</v>
      </c>
      <c r="B833" s="261" t="s">
        <v>986</v>
      </c>
      <c r="C833" s="261">
        <v>725</v>
      </c>
    </row>
    <row r="834" spans="1:3" s="261" customFormat="1" x14ac:dyDescent="0.25">
      <c r="A834" s="261">
        <v>1023180</v>
      </c>
      <c r="B834" s="261" t="s">
        <v>987</v>
      </c>
      <c r="C834" s="261">
        <v>3466</v>
      </c>
    </row>
    <row r="835" spans="1:3" s="261" customFormat="1" x14ac:dyDescent="0.25">
      <c r="A835" s="261">
        <v>1023190</v>
      </c>
      <c r="B835" s="261" t="s">
        <v>988</v>
      </c>
      <c r="C835" s="261">
        <v>210</v>
      </c>
    </row>
    <row r="836" spans="1:3" s="261" customFormat="1" x14ac:dyDescent="0.25">
      <c r="A836" s="261">
        <v>1023200</v>
      </c>
      <c r="B836" s="261" t="s">
        <v>989</v>
      </c>
      <c r="C836" s="261">
        <v>9.9499999999999993</v>
      </c>
    </row>
    <row r="837" spans="1:3" s="261" customFormat="1" x14ac:dyDescent="0.25">
      <c r="A837" s="261">
        <v>1023210</v>
      </c>
      <c r="B837" s="261" t="s">
        <v>990</v>
      </c>
      <c r="C837" s="261">
        <v>4.25</v>
      </c>
    </row>
    <row r="838" spans="1:3" s="261" customFormat="1" x14ac:dyDescent="0.25">
      <c r="A838" s="261">
        <v>1023220</v>
      </c>
      <c r="B838" s="261" t="s">
        <v>991</v>
      </c>
      <c r="C838" s="261">
        <v>79</v>
      </c>
    </row>
    <row r="839" spans="1:3" s="261" customFormat="1" x14ac:dyDescent="0.25">
      <c r="A839" s="261">
        <v>1023230</v>
      </c>
      <c r="B839" s="261" t="s">
        <v>992</v>
      </c>
      <c r="C839" s="261">
        <v>15</v>
      </c>
    </row>
    <row r="840" spans="1:3" s="261" customFormat="1" x14ac:dyDescent="0.25">
      <c r="A840" s="261">
        <v>1023240</v>
      </c>
      <c r="B840" s="261" t="s">
        <v>993</v>
      </c>
      <c r="C840" s="261">
        <v>15</v>
      </c>
    </row>
    <row r="841" spans="1:3" s="261" customFormat="1" x14ac:dyDescent="0.25">
      <c r="A841" s="261">
        <v>1023250</v>
      </c>
      <c r="B841" s="261" t="s">
        <v>994</v>
      </c>
      <c r="C841" s="261">
        <v>15</v>
      </c>
    </row>
    <row r="842" spans="1:3" s="261" customFormat="1" x14ac:dyDescent="0.25">
      <c r="A842" s="261">
        <v>1023260</v>
      </c>
      <c r="B842" s="261" t="s">
        <v>995</v>
      </c>
      <c r="C842" s="261">
        <v>15</v>
      </c>
    </row>
    <row r="843" spans="1:3" s="261" customFormat="1" x14ac:dyDescent="0.25">
      <c r="A843" s="261">
        <v>1023270</v>
      </c>
      <c r="B843" s="261" t="s">
        <v>996</v>
      </c>
      <c r="C843" s="261">
        <v>9.9499999999999993</v>
      </c>
    </row>
    <row r="844" spans="1:3" s="261" customFormat="1" x14ac:dyDescent="0.25">
      <c r="A844" s="261">
        <v>1023280</v>
      </c>
      <c r="B844" s="261" t="s">
        <v>997</v>
      </c>
      <c r="C844" s="261">
        <v>49.95</v>
      </c>
    </row>
    <row r="845" spans="1:3" s="261" customFormat="1" x14ac:dyDescent="0.25">
      <c r="A845" s="261">
        <v>1023290</v>
      </c>
      <c r="B845" s="261" t="s">
        <v>998</v>
      </c>
      <c r="C845" s="261">
        <v>49.95</v>
      </c>
    </row>
    <row r="846" spans="1:3" s="261" customFormat="1" x14ac:dyDescent="0.25">
      <c r="A846" s="261">
        <v>1023300</v>
      </c>
      <c r="B846" s="261" t="s">
        <v>999</v>
      </c>
      <c r="C846" s="261">
        <v>49.95</v>
      </c>
    </row>
    <row r="847" spans="1:3" s="261" customFormat="1" x14ac:dyDescent="0.25">
      <c r="A847" s="261">
        <v>1023310</v>
      </c>
      <c r="B847" s="261" t="s">
        <v>1000</v>
      </c>
      <c r="C847" s="261">
        <v>49.95</v>
      </c>
    </row>
    <row r="848" spans="1:3" s="261" customFormat="1" x14ac:dyDescent="0.25">
      <c r="A848" s="261">
        <v>1023320</v>
      </c>
      <c r="B848" s="261" t="s">
        <v>1001</v>
      </c>
      <c r="C848" s="261">
        <v>19.5</v>
      </c>
    </row>
    <row r="849" spans="1:3" s="261" customFormat="1" x14ac:dyDescent="0.25">
      <c r="A849" s="261">
        <v>1023330</v>
      </c>
      <c r="B849" s="261" t="s">
        <v>1002</v>
      </c>
      <c r="C849" s="261">
        <v>180</v>
      </c>
    </row>
    <row r="850" spans="1:3" s="261" customFormat="1" x14ac:dyDescent="0.25">
      <c r="A850" s="261">
        <v>1023341</v>
      </c>
      <c r="B850" s="261" t="s">
        <v>1003</v>
      </c>
      <c r="C850" s="261">
        <v>176.99</v>
      </c>
    </row>
    <row r="851" spans="1:3" s="261" customFormat="1" x14ac:dyDescent="0.25">
      <c r="A851" s="261">
        <v>1023351</v>
      </c>
      <c r="B851" s="261" t="s">
        <v>1004</v>
      </c>
      <c r="C851" s="261">
        <v>219.99</v>
      </c>
    </row>
    <row r="852" spans="1:3" s="261" customFormat="1" x14ac:dyDescent="0.25">
      <c r="A852" s="261">
        <v>1023361</v>
      </c>
      <c r="B852" s="261" t="s">
        <v>1005</v>
      </c>
      <c r="C852" s="261">
        <v>263.99</v>
      </c>
    </row>
    <row r="853" spans="1:3" s="261" customFormat="1" x14ac:dyDescent="0.25">
      <c r="A853" s="261">
        <v>1023371</v>
      </c>
      <c r="B853" s="261" t="s">
        <v>1006</v>
      </c>
      <c r="C853" s="261">
        <v>354.99</v>
      </c>
    </row>
    <row r="854" spans="1:3" s="261" customFormat="1" x14ac:dyDescent="0.25">
      <c r="A854" s="261">
        <v>1023381</v>
      </c>
      <c r="B854" s="261" t="s">
        <v>1007</v>
      </c>
      <c r="C854" s="261">
        <v>34.99</v>
      </c>
    </row>
    <row r="855" spans="1:3" s="261" customFormat="1" x14ac:dyDescent="0.25">
      <c r="A855" s="261">
        <v>1023390</v>
      </c>
      <c r="B855" s="261" t="s">
        <v>1008</v>
      </c>
      <c r="C855" s="261">
        <v>104.99</v>
      </c>
    </row>
    <row r="856" spans="1:3" s="261" customFormat="1" x14ac:dyDescent="0.25">
      <c r="A856" s="261">
        <v>1023401</v>
      </c>
      <c r="B856" s="261" t="s">
        <v>1009</v>
      </c>
      <c r="C856" s="261">
        <v>263.99</v>
      </c>
    </row>
    <row r="857" spans="1:3" s="261" customFormat="1" x14ac:dyDescent="0.25">
      <c r="A857" s="261">
        <v>1023411</v>
      </c>
      <c r="B857" s="261" t="s">
        <v>1010</v>
      </c>
      <c r="C857" s="261">
        <v>354.99</v>
      </c>
    </row>
    <row r="858" spans="1:3" s="261" customFormat="1" x14ac:dyDescent="0.25">
      <c r="A858" s="261">
        <v>1023420</v>
      </c>
      <c r="B858" s="261" t="s">
        <v>1011</v>
      </c>
      <c r="C858" s="261">
        <v>465</v>
      </c>
    </row>
    <row r="859" spans="1:3" s="261" customFormat="1" x14ac:dyDescent="0.25">
      <c r="A859" s="261">
        <v>1023430</v>
      </c>
      <c r="B859" s="261" t="s">
        <v>1012</v>
      </c>
      <c r="C859" s="261">
        <v>5690</v>
      </c>
    </row>
    <row r="860" spans="1:3" s="261" customFormat="1" x14ac:dyDescent="0.25">
      <c r="A860" s="261">
        <v>1023440</v>
      </c>
      <c r="B860" s="261" t="s">
        <v>1013</v>
      </c>
      <c r="C860" s="261">
        <v>318.99</v>
      </c>
    </row>
    <row r="861" spans="1:3" s="261" customFormat="1" x14ac:dyDescent="0.25">
      <c r="A861" s="261">
        <v>1023450</v>
      </c>
      <c r="B861" s="261" t="s">
        <v>1014</v>
      </c>
      <c r="C861" s="261">
        <v>318.99</v>
      </c>
    </row>
    <row r="862" spans="1:3" s="261" customFormat="1" x14ac:dyDescent="0.25">
      <c r="A862" s="261">
        <v>1023460</v>
      </c>
      <c r="B862" s="261" t="s">
        <v>1015</v>
      </c>
      <c r="C862" s="261">
        <v>318.99</v>
      </c>
    </row>
    <row r="863" spans="1:3" s="261" customFormat="1" x14ac:dyDescent="0.25">
      <c r="A863" s="261">
        <v>1023470</v>
      </c>
      <c r="B863" s="261" t="s">
        <v>1016</v>
      </c>
      <c r="C863" s="261">
        <v>589.99</v>
      </c>
    </row>
    <row r="864" spans="1:3" s="261" customFormat="1" x14ac:dyDescent="0.25">
      <c r="A864" s="261">
        <v>1023480</v>
      </c>
      <c r="B864" s="261" t="s">
        <v>1017</v>
      </c>
      <c r="C864" s="261">
        <v>589.99</v>
      </c>
    </row>
    <row r="865" spans="1:3" s="261" customFormat="1" x14ac:dyDescent="0.25">
      <c r="A865" s="261">
        <v>1023490</v>
      </c>
      <c r="B865" s="261" t="s">
        <v>1018</v>
      </c>
      <c r="C865" s="261">
        <v>589.99</v>
      </c>
    </row>
    <row r="866" spans="1:3" s="261" customFormat="1" x14ac:dyDescent="0.25">
      <c r="A866" s="261">
        <v>1023510</v>
      </c>
      <c r="B866" s="261" t="s">
        <v>1019</v>
      </c>
      <c r="C866" s="261">
        <v>1.99</v>
      </c>
    </row>
    <row r="867" spans="1:3" s="261" customFormat="1" x14ac:dyDescent="0.25">
      <c r="A867" s="261">
        <v>1023520</v>
      </c>
      <c r="B867" s="261" t="s">
        <v>1020</v>
      </c>
      <c r="C867" s="261">
        <v>5.05</v>
      </c>
    </row>
    <row r="868" spans="1:3" s="261" customFormat="1" x14ac:dyDescent="0.25">
      <c r="A868" s="261">
        <v>1023530</v>
      </c>
      <c r="B868" s="261" t="s">
        <v>1021</v>
      </c>
      <c r="C868" s="261">
        <v>1523</v>
      </c>
    </row>
    <row r="869" spans="1:3" s="261" customFormat="1" x14ac:dyDescent="0.25">
      <c r="A869" s="261">
        <v>1023540</v>
      </c>
      <c r="B869" s="261" t="s">
        <v>1022</v>
      </c>
      <c r="C869" s="261">
        <v>77.400000000000006</v>
      </c>
    </row>
    <row r="870" spans="1:3" s="261" customFormat="1" x14ac:dyDescent="0.25">
      <c r="A870" s="261">
        <v>1023550</v>
      </c>
      <c r="B870" s="261" t="s">
        <v>1023</v>
      </c>
      <c r="C870" s="261">
        <v>134.16</v>
      </c>
    </row>
    <row r="871" spans="1:3" s="261" customFormat="1" x14ac:dyDescent="0.25">
      <c r="A871" s="261">
        <v>1023560</v>
      </c>
      <c r="B871" s="261" t="s">
        <v>1024</v>
      </c>
      <c r="C871" s="261">
        <v>235.97</v>
      </c>
    </row>
    <row r="872" spans="1:3" s="261" customFormat="1" x14ac:dyDescent="0.25">
      <c r="A872" s="261">
        <v>1023570</v>
      </c>
      <c r="B872" s="261" t="s">
        <v>1025</v>
      </c>
      <c r="C872" s="261">
        <v>275.73</v>
      </c>
    </row>
    <row r="873" spans="1:3" s="261" customFormat="1" x14ac:dyDescent="0.25">
      <c r="A873" s="261">
        <v>1023571</v>
      </c>
      <c r="B873" s="261" t="s">
        <v>1025</v>
      </c>
      <c r="C873" s="261">
        <v>275.73</v>
      </c>
    </row>
    <row r="874" spans="1:3" s="261" customFormat="1" x14ac:dyDescent="0.25">
      <c r="A874" s="261">
        <v>1023580</v>
      </c>
      <c r="B874" s="261" t="s">
        <v>1026</v>
      </c>
      <c r="C874" s="261">
        <v>89.39</v>
      </c>
    </row>
    <row r="875" spans="1:3" s="261" customFormat="1" x14ac:dyDescent="0.25">
      <c r="A875" s="261">
        <v>1023590</v>
      </c>
      <c r="B875" s="261" t="s">
        <v>1608</v>
      </c>
      <c r="C875" s="261">
        <v>104.3</v>
      </c>
    </row>
    <row r="876" spans="1:3" s="261" customFormat="1" x14ac:dyDescent="0.25">
      <c r="A876" s="261">
        <v>1023600</v>
      </c>
      <c r="B876" s="261" t="s">
        <v>1027</v>
      </c>
      <c r="C876" s="261">
        <v>112.02</v>
      </c>
    </row>
    <row r="877" spans="1:3" s="261" customFormat="1" x14ac:dyDescent="0.25">
      <c r="A877" s="261">
        <v>1023610</v>
      </c>
      <c r="B877" s="261" t="s">
        <v>1028</v>
      </c>
      <c r="C877" s="261">
        <v>92.99</v>
      </c>
    </row>
    <row r="878" spans="1:3" s="261" customFormat="1" x14ac:dyDescent="0.25">
      <c r="A878" s="261">
        <v>1023620</v>
      </c>
      <c r="B878" s="261" t="s">
        <v>1029</v>
      </c>
      <c r="C878" s="261">
        <v>230.99</v>
      </c>
    </row>
    <row r="879" spans="1:3" s="261" customFormat="1" x14ac:dyDescent="0.25">
      <c r="A879" s="261">
        <v>1023640</v>
      </c>
      <c r="B879" s="261" t="s">
        <v>1030</v>
      </c>
      <c r="C879" s="261">
        <v>218</v>
      </c>
    </row>
    <row r="880" spans="1:3" s="261" customFormat="1" x14ac:dyDescent="0.25">
      <c r="A880" s="261">
        <v>1023650</v>
      </c>
      <c r="B880" s="261" t="s">
        <v>1031</v>
      </c>
      <c r="C880" s="261">
        <v>2150</v>
      </c>
    </row>
    <row r="881" spans="1:3" s="261" customFormat="1" x14ac:dyDescent="0.25">
      <c r="A881" s="261">
        <v>1023660</v>
      </c>
      <c r="B881" s="261" t="s">
        <v>1032</v>
      </c>
      <c r="C881" s="261">
        <v>10</v>
      </c>
    </row>
    <row r="882" spans="1:3" s="261" customFormat="1" x14ac:dyDescent="0.25">
      <c r="A882" s="261">
        <v>1023670</v>
      </c>
      <c r="B882" s="261" t="s">
        <v>1033</v>
      </c>
      <c r="C882" s="261">
        <v>10</v>
      </c>
    </row>
    <row r="883" spans="1:3" s="261" customFormat="1" x14ac:dyDescent="0.25">
      <c r="A883" s="261">
        <v>1023680</v>
      </c>
      <c r="B883" s="261" t="s">
        <v>1034</v>
      </c>
      <c r="C883" s="261">
        <v>2295</v>
      </c>
    </row>
    <row r="884" spans="1:3" s="261" customFormat="1" x14ac:dyDescent="0.25">
      <c r="A884" s="261">
        <v>1023690</v>
      </c>
      <c r="B884" s="261" t="s">
        <v>1035</v>
      </c>
      <c r="C884" s="261">
        <v>199</v>
      </c>
    </row>
    <row r="885" spans="1:3" s="261" customFormat="1" x14ac:dyDescent="0.25">
      <c r="A885" s="261">
        <v>1023700</v>
      </c>
      <c r="B885" s="261" t="s">
        <v>1036</v>
      </c>
      <c r="C885" s="261">
        <v>999</v>
      </c>
    </row>
    <row r="886" spans="1:3" s="261" customFormat="1" x14ac:dyDescent="0.25">
      <c r="A886" s="261">
        <v>1023730</v>
      </c>
      <c r="B886" s="261" t="s">
        <v>1037</v>
      </c>
      <c r="C886" s="261">
        <v>14159.76</v>
      </c>
    </row>
    <row r="887" spans="1:3" s="261" customFormat="1" x14ac:dyDescent="0.25">
      <c r="A887" s="261">
        <v>1023740</v>
      </c>
      <c r="B887" s="261" t="s">
        <v>1038</v>
      </c>
      <c r="C887" s="261">
        <v>14159.76</v>
      </c>
    </row>
    <row r="888" spans="1:3" s="261" customFormat="1" x14ac:dyDescent="0.25">
      <c r="A888" s="261">
        <v>1023750</v>
      </c>
      <c r="B888" s="261" t="s">
        <v>1039</v>
      </c>
      <c r="C888" s="261">
        <v>14159.76</v>
      </c>
    </row>
    <row r="889" spans="1:3" s="261" customFormat="1" x14ac:dyDescent="0.25">
      <c r="A889" s="261">
        <v>1023760</v>
      </c>
      <c r="B889" s="261" t="s">
        <v>1040</v>
      </c>
      <c r="C889" s="261">
        <v>0.28999999999999998</v>
      </c>
    </row>
    <row r="890" spans="1:3" s="261" customFormat="1" x14ac:dyDescent="0.25">
      <c r="A890" s="261">
        <v>1023770</v>
      </c>
      <c r="B890" s="261" t="s">
        <v>1041</v>
      </c>
      <c r="C890" s="261">
        <v>109.99</v>
      </c>
    </row>
    <row r="891" spans="1:3" s="261" customFormat="1" x14ac:dyDescent="0.25">
      <c r="A891" s="261">
        <v>1023780</v>
      </c>
      <c r="B891" s="261" t="s">
        <v>1042</v>
      </c>
      <c r="C891" s="261">
        <v>224.99</v>
      </c>
    </row>
    <row r="892" spans="1:3" s="261" customFormat="1" x14ac:dyDescent="0.25">
      <c r="A892" s="261">
        <v>1023790</v>
      </c>
      <c r="B892" s="261" t="s">
        <v>1043</v>
      </c>
      <c r="C892" s="261">
        <v>499</v>
      </c>
    </row>
    <row r="893" spans="1:3" s="261" customFormat="1" x14ac:dyDescent="0.25">
      <c r="A893" s="261">
        <v>1023800</v>
      </c>
      <c r="B893" s="261" t="s">
        <v>1044</v>
      </c>
      <c r="C893" s="261">
        <v>59.99</v>
      </c>
    </row>
    <row r="894" spans="1:3" s="261" customFormat="1" x14ac:dyDescent="0.25">
      <c r="A894" s="261">
        <v>1023810</v>
      </c>
      <c r="B894" s="261" t="s">
        <v>1045</v>
      </c>
      <c r="C894" s="261">
        <v>15.99</v>
      </c>
    </row>
    <row r="895" spans="1:3" s="261" customFormat="1" x14ac:dyDescent="0.25">
      <c r="A895" s="261">
        <v>1023820</v>
      </c>
      <c r="B895" s="261" t="s">
        <v>1046</v>
      </c>
      <c r="C895" s="261">
        <v>100</v>
      </c>
    </row>
    <row r="896" spans="1:3" s="261" customFormat="1" x14ac:dyDescent="0.25">
      <c r="A896" s="261">
        <v>1023830</v>
      </c>
      <c r="B896" s="261" t="s">
        <v>1047</v>
      </c>
      <c r="C896" s="261">
        <v>25</v>
      </c>
    </row>
    <row r="897" spans="1:3" s="261" customFormat="1" x14ac:dyDescent="0.25">
      <c r="A897" s="261">
        <v>1023840</v>
      </c>
      <c r="B897" s="261" t="s">
        <v>1048</v>
      </c>
      <c r="C897" s="261">
        <v>0.5</v>
      </c>
    </row>
    <row r="898" spans="1:3" s="261" customFormat="1" x14ac:dyDescent="0.25">
      <c r="A898" s="261">
        <v>1023850</v>
      </c>
      <c r="B898" s="261" t="s">
        <v>1049</v>
      </c>
      <c r="C898" s="261">
        <v>0.28999999999999998</v>
      </c>
    </row>
    <row r="899" spans="1:3" s="261" customFormat="1" x14ac:dyDescent="0.25">
      <c r="A899" s="261">
        <v>1023860</v>
      </c>
      <c r="B899" s="261" t="s">
        <v>1050</v>
      </c>
      <c r="C899" s="261">
        <v>1.99</v>
      </c>
    </row>
    <row r="900" spans="1:3" s="261" customFormat="1" x14ac:dyDescent="0.25">
      <c r="A900" s="261">
        <v>1023870</v>
      </c>
      <c r="B900" s="261" t="s">
        <v>1051</v>
      </c>
      <c r="C900" s="261">
        <v>1.99</v>
      </c>
    </row>
    <row r="901" spans="1:3" s="261" customFormat="1" x14ac:dyDescent="0.25">
      <c r="A901" s="261">
        <v>1023880</v>
      </c>
      <c r="B901" s="261" t="s">
        <v>1052</v>
      </c>
      <c r="C901" s="261">
        <v>2.99</v>
      </c>
    </row>
    <row r="902" spans="1:3" s="261" customFormat="1" x14ac:dyDescent="0.25">
      <c r="A902" s="261">
        <v>1023900</v>
      </c>
      <c r="B902" s="261" t="s">
        <v>1053</v>
      </c>
      <c r="C902" s="261">
        <v>95</v>
      </c>
    </row>
    <row r="903" spans="1:3" s="261" customFormat="1" x14ac:dyDescent="0.25">
      <c r="A903" s="261">
        <v>1023910</v>
      </c>
      <c r="B903" s="261" t="s">
        <v>1054</v>
      </c>
      <c r="C903" s="261">
        <v>109</v>
      </c>
    </row>
    <row r="904" spans="1:3" s="261" customFormat="1" x14ac:dyDescent="0.25">
      <c r="A904" s="261">
        <v>1023920</v>
      </c>
      <c r="B904" s="261" t="s">
        <v>1055</v>
      </c>
      <c r="C904" s="261">
        <v>95</v>
      </c>
    </row>
    <row r="905" spans="1:3" s="261" customFormat="1" x14ac:dyDescent="0.25">
      <c r="A905" s="261">
        <v>1023930</v>
      </c>
      <c r="B905" s="261" t="s">
        <v>1056</v>
      </c>
      <c r="C905" s="261">
        <v>89</v>
      </c>
    </row>
    <row r="906" spans="1:3" s="261" customFormat="1" x14ac:dyDescent="0.25">
      <c r="A906" s="261">
        <v>1023940</v>
      </c>
      <c r="B906" s="261" t="s">
        <v>1057</v>
      </c>
      <c r="C906" s="261">
        <v>2.95</v>
      </c>
    </row>
    <row r="907" spans="1:3" s="261" customFormat="1" x14ac:dyDescent="0.25">
      <c r="A907" s="261">
        <v>1023951</v>
      </c>
      <c r="B907" s="261" t="s">
        <v>1058</v>
      </c>
      <c r="C907" s="261">
        <v>110.99</v>
      </c>
    </row>
    <row r="908" spans="1:3" s="261" customFormat="1" x14ac:dyDescent="0.25">
      <c r="A908" s="261">
        <v>1023980</v>
      </c>
      <c r="B908" s="261" t="s">
        <v>1059</v>
      </c>
      <c r="C908" s="261">
        <v>849</v>
      </c>
    </row>
    <row r="909" spans="1:3" s="261" customFormat="1" x14ac:dyDescent="0.25">
      <c r="A909" s="261">
        <v>1023990</v>
      </c>
      <c r="B909" s="261" t="s">
        <v>1060</v>
      </c>
      <c r="C909" s="261">
        <v>90</v>
      </c>
    </row>
    <row r="910" spans="1:3" s="261" customFormat="1" x14ac:dyDescent="0.25">
      <c r="A910" s="261">
        <v>1024000</v>
      </c>
      <c r="B910" s="261" t="s">
        <v>1061</v>
      </c>
      <c r="C910" s="261">
        <v>25</v>
      </c>
    </row>
    <row r="911" spans="1:3" s="261" customFormat="1" x14ac:dyDescent="0.25">
      <c r="A911" s="261">
        <v>1024010</v>
      </c>
      <c r="B911" s="261" t="s">
        <v>1062</v>
      </c>
      <c r="C911" s="261">
        <v>849.99</v>
      </c>
    </row>
    <row r="912" spans="1:3" s="261" customFormat="1" x14ac:dyDescent="0.25">
      <c r="A912" s="261">
        <v>1024020</v>
      </c>
      <c r="B912" s="261" t="s">
        <v>1063</v>
      </c>
      <c r="C912" s="261">
        <v>189</v>
      </c>
    </row>
    <row r="913" spans="1:3" s="261" customFormat="1" x14ac:dyDescent="0.25">
      <c r="A913" s="261">
        <v>1024031</v>
      </c>
      <c r="B913" s="261" t="s">
        <v>1064</v>
      </c>
      <c r="C913" s="261">
        <v>110.99</v>
      </c>
    </row>
    <row r="914" spans="1:3" s="261" customFormat="1" x14ac:dyDescent="0.25">
      <c r="A914" s="261">
        <v>1024040</v>
      </c>
      <c r="B914" s="261" t="s">
        <v>1065</v>
      </c>
      <c r="C914" s="261">
        <v>350</v>
      </c>
    </row>
    <row r="915" spans="1:3" s="261" customFormat="1" x14ac:dyDescent="0.25">
      <c r="A915" s="261">
        <v>1024050</v>
      </c>
      <c r="B915" s="261" t="s">
        <v>447</v>
      </c>
      <c r="C915" s="261">
        <v>10.79</v>
      </c>
    </row>
    <row r="916" spans="1:3" s="261" customFormat="1" x14ac:dyDescent="0.25">
      <c r="A916" s="261">
        <v>1024070</v>
      </c>
      <c r="B916" s="261" t="s">
        <v>428</v>
      </c>
      <c r="C916" s="261">
        <v>5.99</v>
      </c>
    </row>
    <row r="917" spans="1:3" s="261" customFormat="1" x14ac:dyDescent="0.25">
      <c r="A917" s="261">
        <v>1024080</v>
      </c>
      <c r="B917" s="261" t="s">
        <v>1066</v>
      </c>
      <c r="C917" s="261">
        <v>34.950000000000003</v>
      </c>
    </row>
    <row r="918" spans="1:3" s="261" customFormat="1" x14ac:dyDescent="0.25">
      <c r="A918" s="261">
        <v>1024090</v>
      </c>
      <c r="B918" s="261" t="s">
        <v>1067</v>
      </c>
      <c r="C918" s="261">
        <v>44.95</v>
      </c>
    </row>
    <row r="919" spans="1:3" s="261" customFormat="1" x14ac:dyDescent="0.25">
      <c r="A919" s="261">
        <v>1024100</v>
      </c>
      <c r="B919" s="261" t="s">
        <v>1068</v>
      </c>
      <c r="C919" s="261">
        <v>44.95</v>
      </c>
    </row>
    <row r="920" spans="1:3" s="261" customFormat="1" x14ac:dyDescent="0.25">
      <c r="A920" s="261">
        <v>1024110</v>
      </c>
      <c r="B920" s="261" t="s">
        <v>1069</v>
      </c>
      <c r="C920" s="261">
        <v>44.95</v>
      </c>
    </row>
    <row r="921" spans="1:3" s="261" customFormat="1" x14ac:dyDescent="0.25">
      <c r="A921" s="261">
        <v>1024120</v>
      </c>
      <c r="B921" s="261" t="s">
        <v>1070</v>
      </c>
      <c r="C921" s="261">
        <v>34.950000000000003</v>
      </c>
    </row>
    <row r="922" spans="1:3" s="261" customFormat="1" x14ac:dyDescent="0.25">
      <c r="A922" s="261">
        <v>1024130</v>
      </c>
      <c r="B922" s="261" t="s">
        <v>1071</v>
      </c>
      <c r="C922" s="261">
        <v>899</v>
      </c>
    </row>
    <row r="923" spans="1:3" s="261" customFormat="1" x14ac:dyDescent="0.25">
      <c r="A923" s="261">
        <v>1024140</v>
      </c>
      <c r="B923" s="261" t="s">
        <v>1072</v>
      </c>
      <c r="C923" s="261">
        <v>399</v>
      </c>
    </row>
    <row r="924" spans="1:3" s="261" customFormat="1" x14ac:dyDescent="0.25">
      <c r="A924" s="261">
        <v>1024150</v>
      </c>
      <c r="B924" s="261" t="s">
        <v>1073</v>
      </c>
      <c r="C924" s="261">
        <v>1.99</v>
      </c>
    </row>
    <row r="925" spans="1:3" s="261" customFormat="1" x14ac:dyDescent="0.25">
      <c r="A925" s="261">
        <v>1024160</v>
      </c>
      <c r="B925" s="261" t="s">
        <v>194</v>
      </c>
      <c r="C925" s="261">
        <v>46.99</v>
      </c>
    </row>
    <row r="926" spans="1:3" s="261" customFormat="1" x14ac:dyDescent="0.25">
      <c r="A926" s="261">
        <v>1024170</v>
      </c>
      <c r="B926" s="261" t="s">
        <v>1074</v>
      </c>
      <c r="C926" s="261">
        <v>249.95</v>
      </c>
    </row>
    <row r="927" spans="1:3" s="261" customFormat="1" x14ac:dyDescent="0.25">
      <c r="A927" s="261">
        <v>1024190</v>
      </c>
      <c r="B927" s="261" t="s">
        <v>1075</v>
      </c>
      <c r="C927" s="261">
        <v>1.99</v>
      </c>
    </row>
    <row r="928" spans="1:3" s="261" customFormat="1" x14ac:dyDescent="0.25">
      <c r="A928" s="261">
        <v>1024200</v>
      </c>
      <c r="B928" s="261" t="s">
        <v>1076</v>
      </c>
      <c r="C928" s="261">
        <v>1.99</v>
      </c>
    </row>
    <row r="929" spans="1:3" s="261" customFormat="1" x14ac:dyDescent="0.25">
      <c r="A929" s="261">
        <v>1024231</v>
      </c>
      <c r="B929" s="261" t="s">
        <v>1077</v>
      </c>
      <c r="C929" s="261">
        <v>191.99</v>
      </c>
    </row>
    <row r="930" spans="1:3" s="261" customFormat="1" x14ac:dyDescent="0.25">
      <c r="A930" s="261">
        <v>1024241</v>
      </c>
      <c r="B930" s="261" t="s">
        <v>1078</v>
      </c>
      <c r="C930" s="261">
        <v>239.99</v>
      </c>
    </row>
    <row r="931" spans="1:3" s="261" customFormat="1" x14ac:dyDescent="0.25">
      <c r="A931" s="261">
        <v>1024251</v>
      </c>
      <c r="B931" s="261" t="s">
        <v>1079</v>
      </c>
      <c r="C931" s="261">
        <v>287.99</v>
      </c>
    </row>
    <row r="932" spans="1:3" s="261" customFormat="1" x14ac:dyDescent="0.25">
      <c r="A932" s="261">
        <v>1024261</v>
      </c>
      <c r="B932" s="261" t="s">
        <v>1080</v>
      </c>
      <c r="C932" s="261">
        <v>39.99</v>
      </c>
    </row>
    <row r="933" spans="1:3" s="261" customFormat="1" x14ac:dyDescent="0.25">
      <c r="A933" s="261">
        <v>1024290</v>
      </c>
      <c r="B933" s="261" t="s">
        <v>1081</v>
      </c>
      <c r="C933" s="261">
        <v>159.99</v>
      </c>
    </row>
    <row r="934" spans="1:3" s="261" customFormat="1" x14ac:dyDescent="0.25">
      <c r="A934" s="261">
        <v>1024340</v>
      </c>
      <c r="B934" s="261" t="s">
        <v>1082</v>
      </c>
      <c r="C934" s="261">
        <v>249.95</v>
      </c>
    </row>
    <row r="935" spans="1:3" s="261" customFormat="1" x14ac:dyDescent="0.25">
      <c r="A935" s="261">
        <v>1024370</v>
      </c>
      <c r="B935" s="261" t="s">
        <v>1597</v>
      </c>
      <c r="C935" s="261">
        <v>8.75</v>
      </c>
    </row>
    <row r="936" spans="1:3" s="261" customFormat="1" x14ac:dyDescent="0.25">
      <c r="A936" s="261">
        <v>1024470</v>
      </c>
      <c r="B936" s="261" t="s">
        <v>1083</v>
      </c>
      <c r="C936" s="261">
        <v>659</v>
      </c>
    </row>
    <row r="937" spans="1:3" s="261" customFormat="1" x14ac:dyDescent="0.25">
      <c r="A937" s="261">
        <v>1024480</v>
      </c>
      <c r="B937" s="261" t="s">
        <v>1084</v>
      </c>
      <c r="C937" s="261">
        <v>659</v>
      </c>
    </row>
    <row r="938" spans="1:3" s="261" customFormat="1" x14ac:dyDescent="0.25">
      <c r="A938" s="261">
        <v>1024490</v>
      </c>
      <c r="B938" s="261" t="s">
        <v>1085</v>
      </c>
      <c r="C938" s="261">
        <v>659</v>
      </c>
    </row>
    <row r="939" spans="1:3" s="261" customFormat="1" x14ac:dyDescent="0.25">
      <c r="A939" s="261">
        <v>1024520</v>
      </c>
      <c r="B939" s="261" t="s">
        <v>1086</v>
      </c>
      <c r="C939" s="261">
        <v>1079</v>
      </c>
    </row>
    <row r="940" spans="1:3" s="261" customFormat="1" x14ac:dyDescent="0.25">
      <c r="A940" s="261">
        <v>1024530</v>
      </c>
      <c r="B940" s="261" t="s">
        <v>1087</v>
      </c>
      <c r="C940" s="261">
        <v>1079</v>
      </c>
    </row>
    <row r="941" spans="1:3" s="261" customFormat="1" x14ac:dyDescent="0.25">
      <c r="A941" s="261">
        <v>1024540</v>
      </c>
      <c r="B941" s="261" t="s">
        <v>1088</v>
      </c>
      <c r="C941" s="261">
        <v>269.75</v>
      </c>
    </row>
    <row r="942" spans="1:3" s="261" customFormat="1" x14ac:dyDescent="0.25">
      <c r="A942" s="261">
        <v>1024560</v>
      </c>
      <c r="B942" s="261" t="s">
        <v>1089</v>
      </c>
      <c r="C942" s="261">
        <v>1299</v>
      </c>
    </row>
    <row r="943" spans="1:3" s="261" customFormat="1" x14ac:dyDescent="0.25">
      <c r="A943" s="261">
        <v>1024570</v>
      </c>
      <c r="B943" s="261" t="s">
        <v>1090</v>
      </c>
      <c r="C943" s="261">
        <v>1299</v>
      </c>
    </row>
    <row r="944" spans="1:3" s="261" customFormat="1" x14ac:dyDescent="0.25">
      <c r="A944" s="261">
        <v>1024580</v>
      </c>
      <c r="B944" s="261" t="s">
        <v>1091</v>
      </c>
      <c r="C944" s="261">
        <v>324.75</v>
      </c>
    </row>
    <row r="945" spans="1:3" s="261" customFormat="1" x14ac:dyDescent="0.25">
      <c r="A945" s="261">
        <v>1024630</v>
      </c>
      <c r="B945" s="261" t="s">
        <v>1613</v>
      </c>
      <c r="C945" s="261">
        <v>249.99</v>
      </c>
    </row>
    <row r="946" spans="1:3" s="261" customFormat="1" x14ac:dyDescent="0.25">
      <c r="A946" s="261">
        <v>1024640</v>
      </c>
      <c r="B946" s="261" t="s">
        <v>1092</v>
      </c>
      <c r="C946" s="261">
        <v>5.4</v>
      </c>
    </row>
    <row r="947" spans="1:3" s="261" customFormat="1" x14ac:dyDescent="0.25">
      <c r="A947" s="261">
        <v>1024650</v>
      </c>
      <c r="B947" s="261" t="s">
        <v>1093</v>
      </c>
      <c r="C947" s="261">
        <v>6.15</v>
      </c>
    </row>
    <row r="948" spans="1:3" s="261" customFormat="1" x14ac:dyDescent="0.25">
      <c r="A948" s="261">
        <v>1024660</v>
      </c>
      <c r="B948" s="261" t="s">
        <v>1094</v>
      </c>
      <c r="C948" s="261">
        <v>988.99</v>
      </c>
    </row>
    <row r="949" spans="1:3" s="261" customFormat="1" x14ac:dyDescent="0.25">
      <c r="A949" s="261">
        <v>1024670</v>
      </c>
      <c r="B949" s="261" t="s">
        <v>1095</v>
      </c>
      <c r="C949" s="261">
        <v>988.99</v>
      </c>
    </row>
    <row r="950" spans="1:3" s="261" customFormat="1" x14ac:dyDescent="0.25">
      <c r="A950" s="261">
        <v>1024680</v>
      </c>
      <c r="B950" s="261" t="s">
        <v>1096</v>
      </c>
      <c r="C950" s="261">
        <v>100</v>
      </c>
    </row>
    <row r="951" spans="1:3" s="261" customFormat="1" x14ac:dyDescent="0.25">
      <c r="A951" s="261">
        <v>1024690</v>
      </c>
      <c r="B951" s="261" t="s">
        <v>1097</v>
      </c>
      <c r="C951" s="261">
        <v>300</v>
      </c>
    </row>
    <row r="952" spans="1:3" s="261" customFormat="1" x14ac:dyDescent="0.25">
      <c r="A952" s="261">
        <v>1024700</v>
      </c>
      <c r="B952" s="261" t="s">
        <v>1098</v>
      </c>
      <c r="C952" s="261">
        <v>500</v>
      </c>
    </row>
    <row r="953" spans="1:3" s="261" customFormat="1" x14ac:dyDescent="0.25">
      <c r="A953" s="261">
        <v>1024730</v>
      </c>
      <c r="B953" s="261" t="s">
        <v>1099</v>
      </c>
      <c r="C953" s="261">
        <v>1</v>
      </c>
    </row>
    <row r="954" spans="1:3" s="261" customFormat="1" x14ac:dyDescent="0.25">
      <c r="A954" s="261">
        <v>1024740</v>
      </c>
      <c r="B954" s="261" t="s">
        <v>1100</v>
      </c>
      <c r="C954" s="261">
        <v>1</v>
      </c>
    </row>
    <row r="955" spans="1:3" s="261" customFormat="1" x14ac:dyDescent="0.25">
      <c r="A955" s="261">
        <v>1024800</v>
      </c>
      <c r="B955" s="261" t="s">
        <v>227</v>
      </c>
      <c r="C955" s="261">
        <v>49.98</v>
      </c>
    </row>
    <row r="956" spans="1:3" s="261" customFormat="1" x14ac:dyDescent="0.25">
      <c r="A956" s="261">
        <v>1024840</v>
      </c>
      <c r="B956" s="261" t="s">
        <v>1617</v>
      </c>
      <c r="C956" s="261">
        <v>17.989999999999998</v>
      </c>
    </row>
    <row r="957" spans="1:3" s="261" customFormat="1" x14ac:dyDescent="0.25">
      <c r="A957" s="261">
        <v>1024860</v>
      </c>
      <c r="B957" s="261" t="s">
        <v>1101</v>
      </c>
      <c r="C957" s="261">
        <v>8.9499999999999993</v>
      </c>
    </row>
    <row r="958" spans="1:3" s="261" customFormat="1" x14ac:dyDescent="0.25">
      <c r="A958" s="261">
        <v>1024870</v>
      </c>
      <c r="B958" s="261" t="s">
        <v>1102</v>
      </c>
      <c r="C958" s="261">
        <v>38.950000000000003</v>
      </c>
    </row>
    <row r="959" spans="1:3" s="261" customFormat="1" x14ac:dyDescent="0.25">
      <c r="A959" s="261">
        <v>1024880</v>
      </c>
      <c r="B959" s="261" t="s">
        <v>1598</v>
      </c>
      <c r="C959" s="261">
        <v>32.94</v>
      </c>
    </row>
    <row r="960" spans="1:3" s="261" customFormat="1" x14ac:dyDescent="0.25">
      <c r="A960" s="261">
        <v>1024900</v>
      </c>
      <c r="B960" s="261" t="s">
        <v>1103</v>
      </c>
      <c r="C960" s="261">
        <v>300</v>
      </c>
    </row>
    <row r="961" spans="1:3" s="261" customFormat="1" x14ac:dyDescent="0.25">
      <c r="A961" s="261">
        <v>1024910</v>
      </c>
      <c r="B961" s="261" t="s">
        <v>1104</v>
      </c>
      <c r="C961" s="261">
        <v>500</v>
      </c>
    </row>
    <row r="962" spans="1:3" s="261" customFormat="1" x14ac:dyDescent="0.25">
      <c r="A962" s="261">
        <v>1024970</v>
      </c>
      <c r="B962" s="261" t="s">
        <v>1105</v>
      </c>
      <c r="C962" s="261">
        <v>45</v>
      </c>
    </row>
    <row r="963" spans="1:3" s="261" customFormat="1" x14ac:dyDescent="0.25">
      <c r="A963" s="261">
        <v>1024980</v>
      </c>
      <c r="B963" s="261" t="s">
        <v>1106</v>
      </c>
      <c r="C963" s="261">
        <v>22</v>
      </c>
    </row>
    <row r="964" spans="1:3" s="261" customFormat="1" x14ac:dyDescent="0.25">
      <c r="A964" s="261">
        <v>1024990</v>
      </c>
      <c r="B964" s="261" t="s">
        <v>1618</v>
      </c>
      <c r="C964" s="261">
        <v>329.99</v>
      </c>
    </row>
    <row r="965" spans="1:3" s="261" customFormat="1" x14ac:dyDescent="0.25">
      <c r="A965" s="261">
        <v>1025010</v>
      </c>
      <c r="B965" s="261" t="s">
        <v>1107</v>
      </c>
      <c r="C965" s="261">
        <v>5290</v>
      </c>
    </row>
    <row r="966" spans="1:3" s="261" customFormat="1" x14ac:dyDescent="0.25">
      <c r="A966" s="261">
        <v>1025020</v>
      </c>
      <c r="B966" s="261" t="s">
        <v>1619</v>
      </c>
      <c r="C966" s="261">
        <v>74.95</v>
      </c>
    </row>
    <row r="967" spans="1:3" s="261" customFormat="1" x14ac:dyDescent="0.25">
      <c r="A967" s="261">
        <v>1025030</v>
      </c>
      <c r="B967" s="261" t="s">
        <v>1620</v>
      </c>
      <c r="C967" s="261">
        <v>55.95</v>
      </c>
    </row>
    <row r="968" spans="1:3" s="261" customFormat="1" x14ac:dyDescent="0.25">
      <c r="A968" s="261">
        <v>1025040</v>
      </c>
      <c r="B968" s="261" t="s">
        <v>1621</v>
      </c>
      <c r="C968" s="261">
        <v>56.99</v>
      </c>
    </row>
    <row r="969" spans="1:3" x14ac:dyDescent="0.25">
      <c r="A969">
        <v>1025070</v>
      </c>
      <c r="B969" t="s">
        <v>1599</v>
      </c>
      <c r="C969">
        <v>9.23</v>
      </c>
    </row>
    <row r="970" spans="1:3" x14ac:dyDescent="0.25">
      <c r="A970">
        <v>1025130</v>
      </c>
      <c r="B970" t="s">
        <v>1622</v>
      </c>
      <c r="C970">
        <v>329.99</v>
      </c>
    </row>
    <row r="971" spans="1:3" x14ac:dyDescent="0.25">
      <c r="A971">
        <v>1025170</v>
      </c>
      <c r="B971" t="s">
        <v>1623</v>
      </c>
      <c r="C971">
        <v>94.99</v>
      </c>
    </row>
    <row r="972" spans="1:3" x14ac:dyDescent="0.25">
      <c r="A972">
        <v>1025300</v>
      </c>
      <c r="B972" t="s">
        <v>1628</v>
      </c>
      <c r="C972">
        <v>94.99</v>
      </c>
    </row>
    <row r="973" spans="1:3" x14ac:dyDescent="0.25">
      <c r="A973">
        <v>1025310</v>
      </c>
      <c r="B973" t="s">
        <v>1614</v>
      </c>
      <c r="C973">
        <v>275</v>
      </c>
    </row>
    <row r="974" spans="1:3" x14ac:dyDescent="0.25">
      <c r="A974">
        <v>1025320</v>
      </c>
      <c r="B974" t="s">
        <v>1629</v>
      </c>
      <c r="C974">
        <v>1.99</v>
      </c>
    </row>
    <row r="975" spans="1:3" x14ac:dyDescent="0.25">
      <c r="A975">
        <v>1025410</v>
      </c>
      <c r="B975" t="s">
        <v>1624</v>
      </c>
      <c r="C975">
        <v>24.95</v>
      </c>
    </row>
    <row r="976" spans="1:3" x14ac:dyDescent="0.25">
      <c r="A976">
        <v>1025420</v>
      </c>
      <c r="B976" t="s">
        <v>1625</v>
      </c>
      <c r="C976">
        <v>24.95</v>
      </c>
    </row>
    <row r="977" spans="1:3" x14ac:dyDescent="0.25">
      <c r="A977">
        <v>1025430</v>
      </c>
      <c r="B977" t="s">
        <v>1626</v>
      </c>
      <c r="C977">
        <v>59.95</v>
      </c>
    </row>
    <row r="978" spans="1:3" x14ac:dyDescent="0.25">
      <c r="A978">
        <v>1025440</v>
      </c>
      <c r="B978" t="s">
        <v>1627</v>
      </c>
      <c r="C978">
        <v>59.95</v>
      </c>
    </row>
    <row r="979" spans="1:3" x14ac:dyDescent="0.25">
      <c r="A979"/>
    </row>
    <row r="980" spans="1:3" x14ac:dyDescent="0.25">
      <c r="A980"/>
    </row>
    <row r="981" spans="1:3" x14ac:dyDescent="0.25">
      <c r="A981"/>
    </row>
    <row r="982" spans="1:3" x14ac:dyDescent="0.25">
      <c r="A982"/>
    </row>
    <row r="983" spans="1:3" x14ac:dyDescent="0.25">
      <c r="A983"/>
    </row>
    <row r="984" spans="1:3" x14ac:dyDescent="0.25">
      <c r="A984"/>
    </row>
    <row r="985" spans="1:3" x14ac:dyDescent="0.25">
      <c r="A985"/>
    </row>
    <row r="986" spans="1:3" x14ac:dyDescent="0.25">
      <c r="A986"/>
    </row>
    <row r="987" spans="1:3" x14ac:dyDescent="0.25">
      <c r="A987"/>
    </row>
    <row r="988" spans="1:3" x14ac:dyDescent="0.25">
      <c r="A988"/>
    </row>
    <row r="989" spans="1:3" x14ac:dyDescent="0.25">
      <c r="A989"/>
    </row>
    <row r="990" spans="1:3" x14ac:dyDescent="0.25">
      <c r="A990"/>
    </row>
    <row r="991" spans="1:3" x14ac:dyDescent="0.25">
      <c r="A991"/>
    </row>
    <row r="992" spans="1:3" x14ac:dyDescent="0.25">
      <c r="A992"/>
    </row>
    <row r="993" spans="1:2" x14ac:dyDescent="0.25">
      <c r="A993"/>
    </row>
    <row r="994" spans="1:2" x14ac:dyDescent="0.25">
      <c r="A994"/>
    </row>
    <row r="995" spans="1:2" x14ac:dyDescent="0.25">
      <c r="A995"/>
    </row>
    <row r="996" spans="1:2" x14ac:dyDescent="0.25">
      <c r="A996"/>
    </row>
    <row r="997" spans="1:2" x14ac:dyDescent="0.25">
      <c r="A997"/>
    </row>
    <row r="998" spans="1:2" x14ac:dyDescent="0.25">
      <c r="A998" s="231"/>
      <c r="B998" s="231"/>
    </row>
    <row r="999" spans="1:2" x14ac:dyDescent="0.25">
      <c r="A999" s="231"/>
      <c r="B999" s="231"/>
    </row>
    <row r="1000" spans="1:2" x14ac:dyDescent="0.25">
      <c r="A1000" s="231"/>
      <c r="B1000" s="231"/>
    </row>
    <row r="1001" spans="1:2" x14ac:dyDescent="0.25">
      <c r="A1001" s="231"/>
      <c r="B1001" s="231"/>
    </row>
    <row r="1002" spans="1:2" x14ac:dyDescent="0.25">
      <c r="A1002" s="231"/>
      <c r="B1002" s="231"/>
    </row>
    <row r="1003" spans="1:2" x14ac:dyDescent="0.25">
      <c r="A1003" s="231"/>
      <c r="B1003" s="231"/>
    </row>
  </sheetData>
  <sheetProtection autoFilter="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C14B-AFAB-4936-978F-7D09BDB0D922}">
  <sheetPr codeName="Sheet3"/>
  <dimension ref="A1:AG17"/>
  <sheetViews>
    <sheetView showGridLines="0" zoomScaleNormal="100" workbookViewId="0">
      <selection activeCell="F34" sqref="F34:F169"/>
    </sheetView>
  </sheetViews>
  <sheetFormatPr defaultRowHeight="15" x14ac:dyDescent="0.25"/>
  <cols>
    <col min="1" max="1" width="14.140625" style="16" bestFit="1" customWidth="1"/>
    <col min="2" max="3" width="9.140625" style="16"/>
    <col min="4" max="4" width="17.5703125" style="16" customWidth="1"/>
    <col min="5" max="8" width="9.140625" style="16"/>
    <col min="9" max="9" width="18.7109375" style="16" bestFit="1" customWidth="1"/>
    <col min="10" max="10" width="15.7109375" style="214" bestFit="1" customWidth="1"/>
    <col min="11" max="11" width="5.140625" style="16" customWidth="1"/>
    <col min="12" max="12" width="18.7109375" style="16" bestFit="1" customWidth="1"/>
    <col min="13" max="13" width="15.7109375" style="214" bestFit="1" customWidth="1"/>
    <col min="14" max="20" width="9.140625" style="16"/>
    <col min="21" max="25" width="0" style="16" hidden="1" customWidth="1"/>
    <col min="26" max="26" width="9.140625" style="16"/>
    <col min="27" max="27" width="17" style="16" hidden="1" customWidth="1"/>
    <col min="28" max="31" width="0" style="16" hidden="1" customWidth="1"/>
    <col min="32" max="33" width="17" style="16" hidden="1" customWidth="1"/>
    <col min="34" max="37" width="0" style="16" hidden="1" customWidth="1"/>
    <col min="38" max="38" width="9.140625" style="16"/>
    <col min="39" max="39" width="11.7109375" style="16" customWidth="1"/>
    <col min="40" max="16384" width="9.140625" style="16"/>
  </cols>
  <sheetData>
    <row r="1" spans="1:27" ht="6.75" customHeight="1" thickBot="1" x14ac:dyDescent="0.3"/>
    <row r="2" spans="1:27" x14ac:dyDescent="0.25">
      <c r="A2" s="16" t="s">
        <v>65</v>
      </c>
      <c r="C2" s="16" t="s">
        <v>85</v>
      </c>
      <c r="D2" s="215" t="s">
        <v>1630</v>
      </c>
      <c r="E2" s="216"/>
      <c r="F2" s="217" t="s">
        <v>134</v>
      </c>
      <c r="G2" s="214" t="s">
        <v>135</v>
      </c>
      <c r="H2" s="214"/>
      <c r="I2" s="411" t="s">
        <v>165</v>
      </c>
      <c r="J2" s="412"/>
      <c r="L2" s="411" t="s">
        <v>166</v>
      </c>
      <c r="M2" s="412"/>
    </row>
    <row r="3" spans="1:27" x14ac:dyDescent="0.25">
      <c r="A3" s="16" t="s">
        <v>60</v>
      </c>
      <c r="D3" s="216"/>
      <c r="E3" s="216"/>
      <c r="F3" s="217">
        <v>1012990</v>
      </c>
      <c r="G3" s="214" t="s">
        <v>136</v>
      </c>
      <c r="H3" s="214"/>
      <c r="I3" s="218" t="s">
        <v>164</v>
      </c>
      <c r="J3" s="219">
        <v>0.15</v>
      </c>
      <c r="L3" s="218" t="s">
        <v>164</v>
      </c>
      <c r="M3" s="219">
        <v>0.15</v>
      </c>
    </row>
    <row r="4" spans="1:27" x14ac:dyDescent="0.25">
      <c r="A4" s="16" t="s">
        <v>71</v>
      </c>
      <c r="E4" s="216"/>
      <c r="F4" s="217">
        <v>1011850</v>
      </c>
      <c r="G4" s="214" t="s">
        <v>136</v>
      </c>
      <c r="H4" s="214"/>
      <c r="I4" s="218" t="s">
        <v>161</v>
      </c>
      <c r="J4" s="219">
        <v>1</v>
      </c>
      <c r="L4" s="218" t="s">
        <v>161</v>
      </c>
      <c r="M4" s="219"/>
    </row>
    <row r="5" spans="1:27" x14ac:dyDescent="0.25">
      <c r="A5" s="16" t="s">
        <v>61</v>
      </c>
      <c r="E5" s="216"/>
      <c r="F5" s="217">
        <v>1011840</v>
      </c>
      <c r="G5" s="214" t="s">
        <v>136</v>
      </c>
      <c r="H5" s="214"/>
      <c r="I5" s="218" t="s">
        <v>171</v>
      </c>
      <c r="J5" s="220" t="s">
        <v>178</v>
      </c>
      <c r="L5" s="218" t="s">
        <v>171</v>
      </c>
      <c r="M5" s="220" t="s">
        <v>178</v>
      </c>
    </row>
    <row r="6" spans="1:27" x14ac:dyDescent="0.25">
      <c r="A6" s="16" t="s">
        <v>67</v>
      </c>
      <c r="E6" s="216"/>
      <c r="F6" s="217">
        <v>1012990</v>
      </c>
      <c r="G6" s="214" t="s">
        <v>137</v>
      </c>
      <c r="H6" s="214"/>
      <c r="I6" s="218" t="s">
        <v>167</v>
      </c>
      <c r="J6" s="228">
        <v>0.3</v>
      </c>
      <c r="L6" s="218" t="s">
        <v>167</v>
      </c>
      <c r="M6" s="228">
        <v>0.3</v>
      </c>
    </row>
    <row r="7" spans="1:27" x14ac:dyDescent="0.25">
      <c r="A7" s="16" t="s">
        <v>68</v>
      </c>
      <c r="E7" s="216"/>
      <c r="F7" s="217">
        <v>1011850</v>
      </c>
      <c r="G7" s="214" t="s">
        <v>137</v>
      </c>
      <c r="H7" s="214"/>
      <c r="I7" s="221" t="s">
        <v>168</v>
      </c>
      <c r="J7" s="222" t="str">
        <f>IFERROR(IF(J5*(1-J6)&lt;'Standard Cart Pricing Formulas'!H25,"Below Cost",(J5*(1-J6))),"")</f>
        <v/>
      </c>
      <c r="L7" s="221" t="s">
        <v>168</v>
      </c>
      <c r="M7" s="222" t="str">
        <f>IFERROR(IF(M5*(1-M6)&lt;'Tiered Cart Pricing Formulas'!H25,"Below Cost",VLOOKUP(M5*(1-M6),'Tiered Pricing Chart'!$A$3:$D$31,3,TRUE)),"")</f>
        <v/>
      </c>
      <c r="N7" s="223"/>
    </row>
    <row r="8" spans="1:27" x14ac:dyDescent="0.25">
      <c r="A8" s="16" t="s">
        <v>69</v>
      </c>
      <c r="E8" s="216"/>
      <c r="F8" s="217">
        <v>1011840</v>
      </c>
      <c r="G8" s="214" t="s">
        <v>137</v>
      </c>
      <c r="H8" s="214"/>
      <c r="I8" s="221" t="s">
        <v>160</v>
      </c>
      <c r="J8" s="222" t="str">
        <f>IFERROR(J7-'Standard Cart Pricing Formulas'!H25,"")</f>
        <v/>
      </c>
      <c r="L8" s="221" t="s">
        <v>160</v>
      </c>
      <c r="M8" s="222" t="str">
        <f>IFERROR(M7-'Tiered Cart Pricing Formulas'!H25,"")</f>
        <v/>
      </c>
      <c r="P8" s="224"/>
    </row>
    <row r="9" spans="1:27" ht="15.75" thickBot="1" x14ac:dyDescent="0.3">
      <c r="A9" s="16" t="s">
        <v>72</v>
      </c>
      <c r="E9" s="216"/>
      <c r="F9" s="217">
        <v>1012990</v>
      </c>
      <c r="G9" s="214" t="s">
        <v>138</v>
      </c>
      <c r="H9" s="214"/>
      <c r="I9" s="225" t="s">
        <v>169</v>
      </c>
      <c r="J9" s="226" t="str">
        <f>IFERROR(J8/J7,"")</f>
        <v/>
      </c>
      <c r="L9" s="225" t="s">
        <v>169</v>
      </c>
      <c r="M9" s="226" t="str">
        <f>IFERROR(M8/M7,"")</f>
        <v/>
      </c>
      <c r="AA9" s="227" t="s">
        <v>64</v>
      </c>
    </row>
    <row r="10" spans="1:27" x14ac:dyDescent="0.25">
      <c r="E10" s="216"/>
      <c r="F10" s="217">
        <v>1011850</v>
      </c>
      <c r="G10" s="214" t="s">
        <v>138</v>
      </c>
      <c r="H10" s="214"/>
      <c r="I10" s="413" t="s">
        <v>170</v>
      </c>
      <c r="J10" s="413"/>
      <c r="K10" s="413"/>
      <c r="L10" s="413"/>
      <c r="M10" s="413"/>
      <c r="AA10" s="227"/>
    </row>
    <row r="11" spans="1:27" x14ac:dyDescent="0.25">
      <c r="E11" s="216"/>
      <c r="F11" s="217">
        <v>1011840</v>
      </c>
      <c r="G11" s="214" t="s">
        <v>138</v>
      </c>
      <c r="H11" s="214"/>
      <c r="AA11" s="227"/>
    </row>
    <row r="12" spans="1:27" x14ac:dyDescent="0.25">
      <c r="E12" s="216"/>
      <c r="F12" s="217">
        <v>1012910</v>
      </c>
      <c r="G12" s="214" t="s">
        <v>139</v>
      </c>
      <c r="H12" s="214"/>
      <c r="AA12" s="227"/>
    </row>
    <row r="13" spans="1:27" x14ac:dyDescent="0.25">
      <c r="E13" s="216"/>
      <c r="F13" s="217">
        <v>1012900</v>
      </c>
      <c r="G13" s="214" t="s">
        <v>139</v>
      </c>
      <c r="H13" s="214"/>
      <c r="AA13" s="227"/>
    </row>
    <row r="14" spans="1:27" x14ac:dyDescent="0.25">
      <c r="E14" s="216"/>
      <c r="F14" s="217">
        <v>1012910</v>
      </c>
      <c r="G14" s="214" t="s">
        <v>140</v>
      </c>
      <c r="H14" s="214"/>
      <c r="AA14" s="227"/>
    </row>
    <row r="15" spans="1:27" x14ac:dyDescent="0.25">
      <c r="E15" s="216"/>
      <c r="F15" s="217">
        <v>1012900</v>
      </c>
      <c r="G15" s="214" t="s">
        <v>140</v>
      </c>
      <c r="H15" s="214"/>
      <c r="AA15" s="227"/>
    </row>
    <row r="16" spans="1:27" x14ac:dyDescent="0.25">
      <c r="E16" s="216"/>
      <c r="F16" s="217">
        <v>1012910</v>
      </c>
      <c r="G16" s="214" t="s">
        <v>141</v>
      </c>
      <c r="AA16" s="227"/>
    </row>
    <row r="17" spans="5:27" x14ac:dyDescent="0.25">
      <c r="E17" s="216"/>
      <c r="F17" s="217">
        <v>1012900</v>
      </c>
      <c r="G17" s="214" t="s">
        <v>141</v>
      </c>
      <c r="AA17" s="227"/>
    </row>
  </sheetData>
  <sheetProtection autoFilter="0"/>
  <mergeCells count="3">
    <mergeCell ref="I2:J2"/>
    <mergeCell ref="L2:M2"/>
    <mergeCell ref="I10:M10"/>
  </mergeCells>
  <conditionalFormatting sqref="J7:J9">
    <cfRule type="containsText" dxfId="1" priority="2" operator="containsText" text="Below Cost">
      <formula>NOT(ISERROR(SEARCH("Below Cost",J7)))</formula>
    </cfRule>
  </conditionalFormatting>
  <conditionalFormatting sqref="M7:M9">
    <cfRule type="containsText" dxfId="0" priority="1" operator="containsText" text="Below Cost">
      <formula>NOT(ISERROR(SEARCH("Below Cost",M7)))</formula>
    </cfRule>
  </conditionalFormatting>
  <dataValidations disablePrompts="1" count="1">
    <dataValidation type="decimal" allowBlank="1" showInputMessage="1" showErrorMessage="1" sqref="M6 J6" xr:uid="{132D7BCD-B4AC-4DB6-BAA2-F61AAD5A283B}">
      <formula1>0</formula1>
      <formula2>0.5</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77E06-7CDD-4119-9893-D53D36FA5B0A}">
  <sheetPr codeName="Sheet5">
    <tabColor theme="7" tint="0.59999389629810485"/>
    <pageSetUpPr fitToPage="1"/>
  </sheetPr>
  <dimension ref="A1:M67"/>
  <sheetViews>
    <sheetView showGridLines="0" zoomScale="85" zoomScaleNormal="85" workbookViewId="0">
      <selection activeCell="E29" sqref="E29:K29"/>
    </sheetView>
  </sheetViews>
  <sheetFormatPr defaultColWidth="9.140625" defaultRowHeight="15" x14ac:dyDescent="0.25"/>
  <cols>
    <col min="1" max="1" width="4.7109375" style="2" customWidth="1"/>
    <col min="2" max="2" width="11.42578125" style="2" customWidth="1"/>
    <col min="3" max="3" width="12.5703125" style="2" customWidth="1"/>
    <col min="4" max="4" width="79" style="2" customWidth="1"/>
    <col min="5" max="5" width="9.28515625" style="2" customWidth="1"/>
    <col min="6" max="6" width="16" style="2" customWidth="1"/>
    <col min="7" max="7" width="9.140625" style="2"/>
    <col min="8" max="8" width="26" style="2" customWidth="1"/>
    <col min="9" max="9" width="17.85546875" style="2" customWidth="1"/>
    <col min="10" max="10" width="14" style="2" bestFit="1" customWidth="1"/>
    <col min="11" max="11" width="54.28515625" style="2" customWidth="1"/>
    <col min="12" max="16384" width="9.140625" style="2"/>
  </cols>
  <sheetData>
    <row r="1" spans="1:13" ht="34.5" thickBot="1" x14ac:dyDescent="0.55000000000000004">
      <c r="A1" s="289" t="s">
        <v>126</v>
      </c>
      <c r="B1" s="290"/>
      <c r="C1" s="290"/>
      <c r="D1" s="290"/>
      <c r="E1" s="290"/>
      <c r="F1" s="290"/>
      <c r="G1" s="290"/>
      <c r="H1" s="290"/>
      <c r="I1" s="290"/>
      <c r="J1" s="290"/>
      <c r="K1" s="290"/>
      <c r="M1" s="69"/>
    </row>
    <row r="2" spans="1:13" ht="27" thickBot="1" x14ac:dyDescent="0.45">
      <c r="A2" s="291" t="s">
        <v>45</v>
      </c>
      <c r="B2" s="292"/>
      <c r="C2" s="292"/>
      <c r="D2" s="292"/>
      <c r="E2" s="292"/>
      <c r="F2" s="292"/>
      <c r="G2" s="292"/>
      <c r="H2" s="292"/>
      <c r="I2" s="292"/>
      <c r="J2" s="292"/>
      <c r="K2" s="292"/>
    </row>
    <row r="3" spans="1:13" s="3" customFormat="1" ht="21.75" customHeight="1" thickBot="1" x14ac:dyDescent="0.3">
      <c r="A3" s="298" t="s">
        <v>53</v>
      </c>
      <c r="B3" s="299"/>
      <c r="C3" s="299"/>
      <c r="D3" s="299"/>
      <c r="E3" s="299"/>
      <c r="F3" s="299"/>
      <c r="G3" s="299"/>
      <c r="H3" s="299"/>
      <c r="I3" s="299"/>
      <c r="J3" s="299"/>
      <c r="K3" s="299"/>
    </row>
    <row r="4" spans="1:13" s="20" customFormat="1" ht="27" customHeight="1" x14ac:dyDescent="0.4">
      <c r="A4" s="28"/>
      <c r="B4" s="29"/>
      <c r="C4" s="29"/>
      <c r="D4" s="29"/>
      <c r="E4" s="29"/>
      <c r="F4" s="29"/>
      <c r="G4" s="29"/>
      <c r="H4" s="29"/>
      <c r="I4" s="29"/>
      <c r="J4" s="29"/>
      <c r="K4" s="29"/>
    </row>
    <row r="5" spans="1:13" s="20" customFormat="1" ht="27" customHeight="1" thickBot="1" x14ac:dyDescent="0.45">
      <c r="A5" s="297" t="s">
        <v>83</v>
      </c>
      <c r="B5" s="297"/>
      <c r="C5" s="297"/>
      <c r="D5" s="297"/>
      <c r="E5" s="296" t="str">
        <f>'McKesson Formulary Calculator'!H4</f>
        <v/>
      </c>
      <c r="F5" s="295"/>
      <c r="G5" s="295" t="s">
        <v>54</v>
      </c>
      <c r="H5" s="295"/>
      <c r="I5" s="295"/>
      <c r="J5" s="294" t="str">
        <f>IFERROR('Tiered Cart Pricing Formulas'!F25,"")</f>
        <v>Does not meet $500 minimum</v>
      </c>
      <c r="K5" s="294"/>
    </row>
    <row r="6" spans="1:13" s="3" customFormat="1" ht="18.75" x14ac:dyDescent="0.3">
      <c r="A6" s="293" t="s">
        <v>26</v>
      </c>
      <c r="B6" s="293"/>
      <c r="C6" s="293"/>
      <c r="D6" s="293"/>
      <c r="E6" s="293"/>
      <c r="F6" s="293"/>
      <c r="G6" s="293"/>
      <c r="H6" s="293"/>
      <c r="I6" s="293"/>
      <c r="J6" s="293"/>
      <c r="K6" s="293"/>
    </row>
    <row r="7" spans="1:13" s="3" customFormat="1" ht="15.75" thickBot="1" x14ac:dyDescent="0.3"/>
    <row r="8" spans="1:13" ht="31.5" x14ac:dyDescent="0.5">
      <c r="A8" s="300" t="s">
        <v>27</v>
      </c>
      <c r="B8" s="301"/>
      <c r="C8" s="301"/>
      <c r="D8" s="301"/>
      <c r="E8" s="301"/>
      <c r="F8" s="301"/>
      <c r="G8" s="301"/>
      <c r="H8" s="301"/>
      <c r="I8" s="301"/>
      <c r="J8" s="301"/>
      <c r="K8" s="302"/>
    </row>
    <row r="9" spans="1:13" ht="21" customHeight="1" x14ac:dyDescent="0.3">
      <c r="A9" s="26">
        <v>1</v>
      </c>
      <c r="B9" s="303" t="s">
        <v>50</v>
      </c>
      <c r="C9" s="303"/>
      <c r="D9" s="303"/>
      <c r="E9" s="303"/>
      <c r="F9" s="303"/>
      <c r="G9" s="303"/>
      <c r="H9" s="303"/>
      <c r="I9" s="303"/>
      <c r="J9" s="303"/>
      <c r="K9" s="304"/>
    </row>
    <row r="10" spans="1:13" ht="21" x14ac:dyDescent="0.35">
      <c r="A10" s="26">
        <v>2</v>
      </c>
      <c r="B10" s="25" t="s">
        <v>51</v>
      </c>
      <c r="C10" s="25"/>
      <c r="D10" s="25"/>
      <c r="E10" s="25"/>
      <c r="F10" s="25"/>
      <c r="G10" s="25"/>
      <c r="H10" s="25"/>
      <c r="I10" s="25"/>
      <c r="J10" s="25"/>
      <c r="K10" s="27"/>
    </row>
    <row r="11" spans="1:13" s="11" customFormat="1" ht="21" x14ac:dyDescent="0.35">
      <c r="A11" s="26">
        <v>3</v>
      </c>
      <c r="B11" s="25" t="s">
        <v>52</v>
      </c>
      <c r="C11" s="25"/>
      <c r="D11" s="25"/>
      <c r="E11" s="25"/>
      <c r="F11" s="25"/>
      <c r="G11" s="25"/>
      <c r="H11" s="25"/>
      <c r="I11" s="25"/>
      <c r="J11" s="25"/>
      <c r="K11" s="27"/>
    </row>
    <row r="12" spans="1:13" s="11" customFormat="1" ht="39.75" customHeight="1" thickBot="1" x14ac:dyDescent="0.4">
      <c r="A12" s="85">
        <v>4</v>
      </c>
      <c r="B12" s="317" t="s">
        <v>96</v>
      </c>
      <c r="C12" s="317"/>
      <c r="D12" s="317"/>
      <c r="E12" s="317"/>
      <c r="F12" s="317"/>
      <c r="G12" s="317"/>
      <c r="H12" s="317"/>
      <c r="I12" s="317"/>
      <c r="J12" s="317"/>
      <c r="K12" s="318"/>
    </row>
    <row r="13" spans="1:13" ht="15.75" thickBot="1" x14ac:dyDescent="0.3"/>
    <row r="14" spans="1:13" ht="27" thickBot="1" x14ac:dyDescent="0.45">
      <c r="A14" s="305" t="s">
        <v>21</v>
      </c>
      <c r="B14" s="306"/>
      <c r="C14" s="306"/>
      <c r="D14" s="306"/>
      <c r="E14" s="306"/>
      <c r="F14" s="306"/>
      <c r="G14" s="306"/>
      <c r="H14" s="306"/>
      <c r="I14" s="306"/>
      <c r="J14" s="306"/>
      <c r="K14" s="307"/>
      <c r="M14" s="22"/>
    </row>
    <row r="15" spans="1:13" s="21" customFormat="1" ht="21.75" thickBot="1" x14ac:dyDescent="0.4">
      <c r="A15" s="308" t="s">
        <v>35</v>
      </c>
      <c r="B15" s="309"/>
      <c r="C15" s="309"/>
      <c r="D15" s="309"/>
      <c r="E15" s="309"/>
      <c r="F15" s="309"/>
      <c r="G15" s="309"/>
      <c r="H15" s="309"/>
      <c r="I15" s="309"/>
      <c r="J15" s="309"/>
      <c r="K15" s="310"/>
      <c r="M15" s="22"/>
    </row>
    <row r="16" spans="1:13" s="21" customFormat="1" ht="21" x14ac:dyDescent="0.35">
      <c r="A16" s="311" t="s">
        <v>70</v>
      </c>
      <c r="B16" s="312"/>
      <c r="C16" s="312"/>
      <c r="D16" s="313"/>
      <c r="E16" s="314" t="s">
        <v>72</v>
      </c>
      <c r="F16" s="315"/>
      <c r="G16" s="315"/>
      <c r="H16" s="315"/>
      <c r="I16" s="315"/>
      <c r="J16" s="315"/>
      <c r="K16" s="316"/>
      <c r="M16" s="22"/>
    </row>
    <row r="17" spans="1:13" s="21" customFormat="1" ht="21" x14ac:dyDescent="0.35">
      <c r="A17" s="311" t="s">
        <v>3</v>
      </c>
      <c r="B17" s="312"/>
      <c r="C17" s="312"/>
      <c r="D17" s="313"/>
      <c r="E17" s="319" t="s">
        <v>65</v>
      </c>
      <c r="F17" s="320"/>
      <c r="G17" s="320"/>
      <c r="H17" s="320"/>
      <c r="I17" s="320"/>
      <c r="J17" s="320"/>
      <c r="K17" s="321"/>
      <c r="M17" s="22"/>
    </row>
    <row r="18" spans="1:13" s="21" customFormat="1" ht="21" x14ac:dyDescent="0.35">
      <c r="A18" s="311" t="s">
        <v>175</v>
      </c>
      <c r="B18" s="312"/>
      <c r="C18" s="312"/>
      <c r="D18" s="313"/>
      <c r="E18" s="319" t="s">
        <v>65</v>
      </c>
      <c r="F18" s="320"/>
      <c r="G18" s="320"/>
      <c r="H18" s="320"/>
      <c r="I18" s="320"/>
      <c r="J18" s="320"/>
      <c r="K18" s="321"/>
      <c r="M18" s="22"/>
    </row>
    <row r="19" spans="1:13" s="21" customFormat="1" ht="21" x14ac:dyDescent="0.35">
      <c r="A19" s="311" t="s">
        <v>149</v>
      </c>
      <c r="B19" s="312"/>
      <c r="C19" s="312"/>
      <c r="D19" s="313"/>
      <c r="E19" s="319" t="s">
        <v>65</v>
      </c>
      <c r="F19" s="320"/>
      <c r="G19" s="320"/>
      <c r="H19" s="320"/>
      <c r="I19" s="320"/>
      <c r="J19" s="320"/>
      <c r="K19" s="321"/>
      <c r="M19" s="22"/>
    </row>
    <row r="20" spans="1:13" s="21" customFormat="1" ht="21" x14ac:dyDescent="0.35">
      <c r="A20" s="311" t="s">
        <v>150</v>
      </c>
      <c r="B20" s="312"/>
      <c r="C20" s="312"/>
      <c r="D20" s="313"/>
      <c r="E20" s="319" t="s">
        <v>65</v>
      </c>
      <c r="F20" s="320"/>
      <c r="G20" s="320"/>
      <c r="H20" s="320"/>
      <c r="I20" s="320"/>
      <c r="J20" s="320"/>
      <c r="K20" s="321"/>
      <c r="M20" s="22"/>
    </row>
    <row r="21" spans="1:13" s="21" customFormat="1" ht="21" x14ac:dyDescent="0.35">
      <c r="A21" s="311" t="s">
        <v>152</v>
      </c>
      <c r="B21" s="312"/>
      <c r="C21" s="312"/>
      <c r="D21" s="313"/>
      <c r="E21" s="319" t="s">
        <v>65</v>
      </c>
      <c r="F21" s="320"/>
      <c r="G21" s="320"/>
      <c r="H21" s="320"/>
      <c r="I21" s="320"/>
      <c r="J21" s="320"/>
      <c r="K21" s="321"/>
      <c r="M21" s="22"/>
    </row>
    <row r="22" spans="1:13" s="21" customFormat="1" ht="21" x14ac:dyDescent="0.35">
      <c r="A22" s="311" t="s">
        <v>151</v>
      </c>
      <c r="B22" s="312"/>
      <c r="C22" s="312"/>
      <c r="D22" s="313"/>
      <c r="E22" s="319" t="s">
        <v>65</v>
      </c>
      <c r="F22" s="320"/>
      <c r="G22" s="320"/>
      <c r="H22" s="320"/>
      <c r="I22" s="320"/>
      <c r="J22" s="320"/>
      <c r="K22" s="321"/>
      <c r="M22" s="22"/>
    </row>
    <row r="23" spans="1:13" s="21" customFormat="1" ht="21" x14ac:dyDescent="0.35">
      <c r="A23" s="311" t="s">
        <v>12</v>
      </c>
      <c r="B23" s="312"/>
      <c r="C23" s="312"/>
      <c r="D23" s="313"/>
      <c r="E23" s="319" t="s">
        <v>65</v>
      </c>
      <c r="F23" s="320"/>
      <c r="G23" s="320"/>
      <c r="H23" s="320"/>
      <c r="I23" s="320"/>
      <c r="J23" s="320"/>
      <c r="K23" s="321"/>
      <c r="M23" s="22"/>
    </row>
    <row r="24" spans="1:13" s="21" customFormat="1" ht="21" x14ac:dyDescent="0.35">
      <c r="A24" s="311" t="s">
        <v>5</v>
      </c>
      <c r="B24" s="312"/>
      <c r="C24" s="312"/>
      <c r="D24" s="313"/>
      <c r="E24" s="322" t="s">
        <v>65</v>
      </c>
      <c r="F24" s="323"/>
      <c r="G24" s="323"/>
      <c r="H24" s="323"/>
      <c r="I24" s="323"/>
      <c r="J24" s="323"/>
      <c r="K24" s="324"/>
      <c r="M24" s="22"/>
    </row>
    <row r="25" spans="1:13" s="21" customFormat="1" ht="21" x14ac:dyDescent="0.35">
      <c r="A25" s="311" t="s">
        <v>6</v>
      </c>
      <c r="B25" s="312"/>
      <c r="C25" s="312"/>
      <c r="D25" s="313"/>
      <c r="E25" s="322" t="s">
        <v>65</v>
      </c>
      <c r="F25" s="323"/>
      <c r="G25" s="323"/>
      <c r="H25" s="323"/>
      <c r="I25" s="323"/>
      <c r="J25" s="323"/>
      <c r="K25" s="324"/>
      <c r="M25" s="22"/>
    </row>
    <row r="26" spans="1:13" s="21" customFormat="1" ht="21" x14ac:dyDescent="0.35">
      <c r="A26" s="311" t="s">
        <v>91</v>
      </c>
      <c r="B26" s="312"/>
      <c r="C26" s="312"/>
      <c r="D26" s="313"/>
      <c r="E26" s="319"/>
      <c r="F26" s="320"/>
      <c r="G26" s="320"/>
      <c r="H26" s="320"/>
      <c r="I26" s="320"/>
      <c r="J26" s="320"/>
      <c r="K26" s="321"/>
      <c r="M26" s="22"/>
    </row>
    <row r="27" spans="1:13" s="21" customFormat="1" ht="21" x14ac:dyDescent="0.35">
      <c r="A27" s="311" t="s">
        <v>133</v>
      </c>
      <c r="B27" s="312"/>
      <c r="C27" s="312"/>
      <c r="D27" s="313"/>
      <c r="E27" s="322"/>
      <c r="F27" s="323"/>
      <c r="G27" s="323"/>
      <c r="H27" s="323"/>
      <c r="I27" s="323"/>
      <c r="J27" s="323"/>
      <c r="K27" s="324"/>
      <c r="M27" s="22"/>
    </row>
    <row r="28" spans="1:13" s="21" customFormat="1" ht="21" x14ac:dyDescent="0.35">
      <c r="A28" s="311" t="s">
        <v>172</v>
      </c>
      <c r="B28" s="312"/>
      <c r="C28" s="312"/>
      <c r="D28" s="313"/>
      <c r="E28" s="319"/>
      <c r="F28" s="320"/>
      <c r="G28" s="320"/>
      <c r="H28" s="320"/>
      <c r="I28" s="320"/>
      <c r="J28" s="320"/>
      <c r="K28" s="321"/>
      <c r="M28" s="22"/>
    </row>
    <row r="29" spans="1:13" s="21" customFormat="1" ht="21" x14ac:dyDescent="0.35">
      <c r="A29" s="311" t="s">
        <v>62</v>
      </c>
      <c r="B29" s="312"/>
      <c r="C29" s="312"/>
      <c r="D29" s="313"/>
      <c r="E29" s="319" t="s">
        <v>65</v>
      </c>
      <c r="F29" s="320"/>
      <c r="G29" s="320"/>
      <c r="H29" s="320"/>
      <c r="I29" s="320"/>
      <c r="J29" s="320"/>
      <c r="K29" s="321"/>
    </row>
    <row r="30" spans="1:13" s="21" customFormat="1" ht="21" x14ac:dyDescent="0.35">
      <c r="A30" s="311" t="s">
        <v>23</v>
      </c>
      <c r="B30" s="312"/>
      <c r="C30" s="312"/>
      <c r="D30" s="313"/>
      <c r="E30" s="319" t="s">
        <v>65</v>
      </c>
      <c r="F30" s="320"/>
      <c r="G30" s="320"/>
      <c r="H30" s="320"/>
      <c r="I30" s="320"/>
      <c r="J30" s="320"/>
      <c r="K30" s="321"/>
    </row>
    <row r="31" spans="1:13" s="21" customFormat="1" ht="21" x14ac:dyDescent="0.35">
      <c r="A31" s="311" t="s">
        <v>46</v>
      </c>
      <c r="B31" s="312"/>
      <c r="C31" s="312"/>
      <c r="D31" s="313"/>
      <c r="E31" s="319"/>
      <c r="F31" s="320"/>
      <c r="G31" s="320"/>
      <c r="H31" s="320"/>
      <c r="I31" s="320"/>
      <c r="J31" s="320"/>
      <c r="K31" s="321"/>
    </row>
    <row r="32" spans="1:13" s="21" customFormat="1" ht="21" x14ac:dyDescent="0.35">
      <c r="A32" s="311" t="s">
        <v>18</v>
      </c>
      <c r="B32" s="312"/>
      <c r="C32" s="312"/>
      <c r="D32" s="313"/>
      <c r="E32" s="319"/>
      <c r="F32" s="320"/>
      <c r="G32" s="320"/>
      <c r="H32" s="320"/>
      <c r="I32" s="320"/>
      <c r="J32" s="320"/>
      <c r="K32" s="321"/>
    </row>
    <row r="33" spans="1:11" s="21" customFormat="1" ht="21" x14ac:dyDescent="0.35">
      <c r="A33" s="311" t="s">
        <v>47</v>
      </c>
      <c r="B33" s="312"/>
      <c r="C33" s="312"/>
      <c r="D33" s="313"/>
      <c r="E33" s="319"/>
      <c r="F33" s="320"/>
      <c r="G33" s="320"/>
      <c r="H33" s="320"/>
      <c r="I33" s="320"/>
      <c r="J33" s="320"/>
      <c r="K33" s="321"/>
    </row>
    <row r="34" spans="1:11" s="21" customFormat="1" ht="21" x14ac:dyDescent="0.35">
      <c r="A34" s="311" t="s">
        <v>15</v>
      </c>
      <c r="B34" s="312"/>
      <c r="C34" s="312"/>
      <c r="D34" s="313"/>
      <c r="E34" s="319" t="s">
        <v>65</v>
      </c>
      <c r="F34" s="320"/>
      <c r="G34" s="320"/>
      <c r="H34" s="320"/>
      <c r="I34" s="320"/>
      <c r="J34" s="320"/>
      <c r="K34" s="321"/>
    </row>
    <row r="35" spans="1:11" s="21" customFormat="1" ht="21" x14ac:dyDescent="0.35">
      <c r="A35" s="311" t="s">
        <v>30</v>
      </c>
      <c r="B35" s="312"/>
      <c r="C35" s="312"/>
      <c r="D35" s="313"/>
      <c r="E35" s="319" t="s">
        <v>65</v>
      </c>
      <c r="F35" s="320"/>
      <c r="G35" s="320"/>
      <c r="H35" s="320"/>
      <c r="I35" s="320"/>
      <c r="J35" s="320"/>
      <c r="K35" s="321"/>
    </row>
    <row r="36" spans="1:11" s="21" customFormat="1" ht="21" x14ac:dyDescent="0.35">
      <c r="A36" s="325" t="s">
        <v>31</v>
      </c>
      <c r="B36" s="326"/>
      <c r="C36" s="326"/>
      <c r="D36" s="327"/>
      <c r="E36" s="319" t="s">
        <v>65</v>
      </c>
      <c r="F36" s="320"/>
      <c r="G36" s="320"/>
      <c r="H36" s="320"/>
      <c r="I36" s="320"/>
      <c r="J36" s="320"/>
      <c r="K36" s="321"/>
    </row>
    <row r="37" spans="1:11" s="21" customFormat="1" ht="21" x14ac:dyDescent="0.35">
      <c r="A37" s="24" t="s">
        <v>48</v>
      </c>
      <c r="B37" s="24"/>
      <c r="C37" s="24"/>
      <c r="D37" s="24"/>
      <c r="E37" s="319"/>
      <c r="F37" s="320"/>
      <c r="G37" s="320"/>
      <c r="H37" s="320"/>
      <c r="I37" s="320"/>
      <c r="J37" s="320"/>
      <c r="K37" s="321"/>
    </row>
    <row r="38" spans="1:11" ht="21" x14ac:dyDescent="0.35">
      <c r="A38" s="24" t="s">
        <v>49</v>
      </c>
      <c r="B38" s="24"/>
      <c r="C38" s="24"/>
      <c r="D38" s="24"/>
      <c r="E38" s="319"/>
      <c r="F38" s="320"/>
      <c r="G38" s="320"/>
      <c r="H38" s="320"/>
      <c r="I38" s="320"/>
      <c r="J38" s="320"/>
      <c r="K38" s="321"/>
    </row>
    <row r="39" spans="1:11" ht="21" x14ac:dyDescent="0.35">
      <c r="A39" s="23" t="s">
        <v>22</v>
      </c>
      <c r="B39" s="24"/>
      <c r="C39" s="24"/>
      <c r="D39" s="24"/>
      <c r="E39" s="319"/>
      <c r="F39" s="320"/>
      <c r="G39" s="320"/>
      <c r="H39" s="320"/>
      <c r="I39" s="320"/>
      <c r="J39" s="320"/>
      <c r="K39" s="321"/>
    </row>
    <row r="40" spans="1:11" ht="21" x14ac:dyDescent="0.35">
      <c r="A40" s="311" t="s">
        <v>19</v>
      </c>
      <c r="B40" s="312"/>
      <c r="C40" s="312"/>
      <c r="D40" s="313"/>
      <c r="E40" s="319" t="s">
        <v>65</v>
      </c>
      <c r="F40" s="320"/>
      <c r="G40" s="320"/>
      <c r="H40" s="320"/>
      <c r="I40" s="320"/>
      <c r="J40" s="320"/>
      <c r="K40" s="321"/>
    </row>
    <row r="41" spans="1:11" ht="21" x14ac:dyDescent="0.35">
      <c r="A41" s="311" t="s">
        <v>20</v>
      </c>
      <c r="B41" s="312"/>
      <c r="C41" s="312"/>
      <c r="D41" s="313"/>
      <c r="E41" s="319" t="s">
        <v>65</v>
      </c>
      <c r="F41" s="320"/>
      <c r="G41" s="320"/>
      <c r="H41" s="320"/>
      <c r="I41" s="320"/>
      <c r="J41" s="320"/>
      <c r="K41" s="321"/>
    </row>
    <row r="42" spans="1:11" ht="21" x14ac:dyDescent="0.35">
      <c r="A42" s="311" t="s">
        <v>32</v>
      </c>
      <c r="B42" s="312"/>
      <c r="C42" s="312"/>
      <c r="D42" s="313"/>
      <c r="E42" s="319" t="s">
        <v>65</v>
      </c>
      <c r="F42" s="320"/>
      <c r="G42" s="320"/>
      <c r="H42" s="320"/>
      <c r="I42" s="320"/>
      <c r="J42" s="320"/>
      <c r="K42" s="321"/>
    </row>
    <row r="43" spans="1:11" ht="23.25" x14ac:dyDescent="0.35">
      <c r="A43" s="32"/>
    </row>
    <row r="44" spans="1:11" ht="31.5" x14ac:dyDescent="0.5">
      <c r="A44" s="33" t="s">
        <v>55</v>
      </c>
      <c r="C44" s="57" t="s">
        <v>129</v>
      </c>
      <c r="D44" s="97" t="s">
        <v>130</v>
      </c>
    </row>
    <row r="45" spans="1:11" ht="21" x14ac:dyDescent="0.35">
      <c r="C45" s="65"/>
      <c r="D45" s="65" t="s">
        <v>66</v>
      </c>
    </row>
    <row r="46" spans="1:11" ht="23.25" x14ac:dyDescent="0.35">
      <c r="F46" s="30"/>
      <c r="G46" s="30"/>
      <c r="H46" s="30"/>
      <c r="J46" s="31"/>
    </row>
    <row r="47" spans="1:11" s="34" customFormat="1" ht="21.75" thickBot="1" x14ac:dyDescent="0.4">
      <c r="E47" s="35"/>
      <c r="G47" s="35"/>
      <c r="H47" s="35"/>
    </row>
    <row r="48" spans="1:11" s="34" customFormat="1" ht="32.25" thickBot="1" x14ac:dyDescent="0.55000000000000004">
      <c r="A48" s="36" t="s">
        <v>56</v>
      </c>
      <c r="C48" s="57" t="s">
        <v>59</v>
      </c>
      <c r="D48" s="68"/>
      <c r="E48" s="57" t="s">
        <v>117</v>
      </c>
      <c r="F48" s="94"/>
      <c r="G48" s="61" t="s">
        <v>128</v>
      </c>
    </row>
    <row r="49" spans="1:8" s="34" customFormat="1" ht="21.95" customHeight="1" thickBot="1" x14ac:dyDescent="0.3">
      <c r="D49" s="52" t="s">
        <v>94</v>
      </c>
    </row>
    <row r="50" spans="1:8" s="34" customFormat="1" ht="30" customHeight="1" x14ac:dyDescent="0.35">
      <c r="A50" s="66"/>
      <c r="B50" s="67" t="str">
        <f>IF($E$16="Healthfirst","Select Billing:",IF($E$16="Henry Schein","",IF('Standard Cart Pricing Formulas'!Q25="Medline","",IF($E$16="Required Field","",""))))</f>
        <v/>
      </c>
      <c r="C50" s="67"/>
      <c r="D50" s="331" t="s">
        <v>90</v>
      </c>
    </row>
    <row r="51" spans="1:8" s="34" customFormat="1" ht="18.75" customHeight="1" thickBot="1" x14ac:dyDescent="0.35">
      <c r="A51" s="329"/>
      <c r="B51" s="329"/>
      <c r="D51" s="332"/>
    </row>
    <row r="52" spans="1:8" s="34" customFormat="1" ht="18.75" customHeight="1" x14ac:dyDescent="0.3">
      <c r="A52" s="91"/>
      <c r="B52" s="91"/>
      <c r="D52" s="331" t="s">
        <v>127</v>
      </c>
    </row>
    <row r="53" spans="1:8" ht="18.75" customHeight="1" x14ac:dyDescent="0.3">
      <c r="A53" s="330"/>
      <c r="B53" s="330"/>
      <c r="D53" s="333"/>
    </row>
    <row r="54" spans="1:8" ht="19.5" thickBot="1" x14ac:dyDescent="0.35">
      <c r="A54" s="92"/>
      <c r="B54" s="92"/>
      <c r="D54" s="332"/>
    </row>
    <row r="55" spans="1:8" ht="18.75" customHeight="1" x14ac:dyDescent="0.3">
      <c r="A55" s="92"/>
      <c r="B55" s="92"/>
      <c r="D55" s="93"/>
    </row>
    <row r="56" spans="1:8" ht="31.5" x14ac:dyDescent="0.5">
      <c r="A56" s="33" t="s">
        <v>57</v>
      </c>
      <c r="C56" s="58" t="s">
        <v>155</v>
      </c>
      <c r="D56" s="58"/>
      <c r="E56" s="59"/>
      <c r="F56" s="60"/>
      <c r="G56" s="60"/>
      <c r="H56" s="60"/>
    </row>
    <row r="58" spans="1:8" x14ac:dyDescent="0.25">
      <c r="D58" s="63"/>
      <c r="F58" s="70">
        <v>11</v>
      </c>
    </row>
    <row r="60" spans="1:8" x14ac:dyDescent="0.25">
      <c r="D60" s="62"/>
    </row>
    <row r="61" spans="1:8" x14ac:dyDescent="0.25">
      <c r="D61" s="62"/>
    </row>
    <row r="62" spans="1:8" x14ac:dyDescent="0.25">
      <c r="D62" s="62"/>
    </row>
    <row r="63" spans="1:8" x14ac:dyDescent="0.25">
      <c r="B63" s="328" t="str">
        <f>'Version and Lists'!D2</f>
        <v>V 89 07/17/2026</v>
      </c>
      <c r="C63" s="328"/>
      <c r="D63" s="90"/>
    </row>
    <row r="64" spans="1:8" x14ac:dyDescent="0.25">
      <c r="D64" s="62"/>
    </row>
    <row r="65" spans="4:4" x14ac:dyDescent="0.25">
      <c r="D65" s="62"/>
    </row>
    <row r="66" spans="4:4" x14ac:dyDescent="0.25">
      <c r="D66" s="62"/>
    </row>
    <row r="67" spans="4:4" x14ac:dyDescent="0.25">
      <c r="D67" s="62"/>
    </row>
  </sheetData>
  <sheetProtection autoFilter="0"/>
  <mergeCells count="69">
    <mergeCell ref="B63:C63"/>
    <mergeCell ref="A41:D41"/>
    <mergeCell ref="E41:K41"/>
    <mergeCell ref="A51:B51"/>
    <mergeCell ref="A53:B53"/>
    <mergeCell ref="D50:D51"/>
    <mergeCell ref="D52:D54"/>
    <mergeCell ref="A42:D42"/>
    <mergeCell ref="E42:K42"/>
    <mergeCell ref="A30:D30"/>
    <mergeCell ref="E30:K30"/>
    <mergeCell ref="A31:D31"/>
    <mergeCell ref="E31:K31"/>
    <mergeCell ref="A32:D32"/>
    <mergeCell ref="E32:K32"/>
    <mergeCell ref="E39:K39"/>
    <mergeCell ref="A40:D40"/>
    <mergeCell ref="E40:K40"/>
    <mergeCell ref="A33:D33"/>
    <mergeCell ref="E33:K33"/>
    <mergeCell ref="A34:D34"/>
    <mergeCell ref="E34:K34"/>
    <mergeCell ref="A35:D35"/>
    <mergeCell ref="E35:K35"/>
    <mergeCell ref="E36:K36"/>
    <mergeCell ref="E37:K37"/>
    <mergeCell ref="E38:K38"/>
    <mergeCell ref="A36:D36"/>
    <mergeCell ref="E29:K29"/>
    <mergeCell ref="A24:D24"/>
    <mergeCell ref="E24:K24"/>
    <mergeCell ref="A25:D25"/>
    <mergeCell ref="E25:K25"/>
    <mergeCell ref="A26:D26"/>
    <mergeCell ref="E26:K26"/>
    <mergeCell ref="A28:D28"/>
    <mergeCell ref="E28:K28"/>
    <mergeCell ref="A29:D29"/>
    <mergeCell ref="A27:D27"/>
    <mergeCell ref="E27:K27"/>
    <mergeCell ref="A17:D17"/>
    <mergeCell ref="E17:K17"/>
    <mergeCell ref="A19:D19"/>
    <mergeCell ref="E19:K19"/>
    <mergeCell ref="A23:D23"/>
    <mergeCell ref="E23:K23"/>
    <mergeCell ref="A20:D20"/>
    <mergeCell ref="A21:D21"/>
    <mergeCell ref="A22:D22"/>
    <mergeCell ref="E20:K20"/>
    <mergeCell ref="E21:K21"/>
    <mergeCell ref="E22:K22"/>
    <mergeCell ref="A18:D18"/>
    <mergeCell ref="E18:K18"/>
    <mergeCell ref="A8:K8"/>
    <mergeCell ref="B9:K9"/>
    <mergeCell ref="A14:K14"/>
    <mergeCell ref="A15:K15"/>
    <mergeCell ref="A16:D16"/>
    <mergeCell ref="E16:K16"/>
    <mergeCell ref="B12:K12"/>
    <mergeCell ref="A1:K1"/>
    <mergeCell ref="A2:K2"/>
    <mergeCell ref="A6:K6"/>
    <mergeCell ref="J5:K5"/>
    <mergeCell ref="G5:I5"/>
    <mergeCell ref="E5:F5"/>
    <mergeCell ref="A5:D5"/>
    <mergeCell ref="A3:K3"/>
  </mergeCells>
  <dataValidations count="3">
    <dataValidation type="date" allowBlank="1" showInputMessage="1" showErrorMessage="1" errorTitle="Date Required" error="Please enter the date" sqref="F48" xr:uid="{893D431B-65B2-4604-A34C-DAEDCA094691}">
      <formula1>1</formula1>
      <formula2>72686</formula2>
    </dataValidation>
    <dataValidation type="textLength" operator="equal" allowBlank="1" showInputMessage="1" showErrorMessage="1" errorTitle="Formatting Error" error="The Shipping State field requires the use of the 2-letter state abbreviation." sqref="E21:K21" xr:uid="{89FFB0D3-AA64-4B7B-8699-63BC104CA433}">
      <formula1>2</formula1>
    </dataValidation>
    <dataValidation type="list" showInputMessage="1" showErrorMessage="1" errorTitle="Incorrect Option Selected" error="Please use the dropdown icon to select either &quot;Yes&quot; or &quot;No&quot;" sqref="E18:K18" xr:uid="{A48963D3-190A-46F1-A35E-E660E465DBF3}">
      <formula1>"Required Field, Yes, No"</formula1>
    </dataValidation>
  </dataValidations>
  <hyperlinks>
    <hyperlink ref="D44" r:id="rId1" xr:uid="{88144849-39FC-43E6-962B-BB2958029429}"/>
  </hyperlinks>
  <pageMargins left="0.7" right="0.7" top="0.75" bottom="0.75" header="0.3" footer="0.3"/>
  <pageSetup scale="35"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337" r:id="rId5" name="Check Box 1">
              <controlPr defaultSize="0" autoFill="0" autoLine="0" autoPict="0">
                <anchor moveWithCells="1">
                  <from>
                    <xdr:col>3</xdr:col>
                    <xdr:colOff>304800</xdr:colOff>
                    <xdr:row>43</xdr:row>
                    <xdr:rowOff>323850</xdr:rowOff>
                  </from>
                  <to>
                    <xdr:col>3</xdr:col>
                    <xdr:colOff>638175</xdr:colOff>
                    <xdr:row>45</xdr:row>
                    <xdr:rowOff>114300</xdr:rowOff>
                  </to>
                </anchor>
              </controlPr>
            </control>
          </mc:Choice>
        </mc:AlternateContent>
        <mc:AlternateContent xmlns:mc="http://schemas.openxmlformats.org/markup-compatibility/2006">
          <mc:Choice Requires="x14">
            <control shapeId="14340" r:id="rId6" name="Check Box 4">
              <controlPr locked="0" defaultSize="0" autoFill="0" autoLine="0" autoPict="0">
                <anchor moveWithCells="1">
                  <from>
                    <xdr:col>3</xdr:col>
                    <xdr:colOff>9525</xdr:colOff>
                    <xdr:row>48</xdr:row>
                    <xdr:rowOff>314325</xdr:rowOff>
                  </from>
                  <to>
                    <xdr:col>3</xdr:col>
                    <xdr:colOff>342900</xdr:colOff>
                    <xdr:row>50</xdr:row>
                    <xdr:rowOff>85725</xdr:rowOff>
                  </to>
                </anchor>
              </controlPr>
            </control>
          </mc:Choice>
        </mc:AlternateContent>
        <mc:AlternateContent xmlns:mc="http://schemas.openxmlformats.org/markup-compatibility/2006">
          <mc:Choice Requires="x14">
            <control shapeId="14341" r:id="rId7" name="Check Box 5">
              <controlPr locked="0" defaultSize="0" autoFill="0" autoLine="0" autoPict="0">
                <anchor moveWithCells="1">
                  <from>
                    <xdr:col>3</xdr:col>
                    <xdr:colOff>9525</xdr:colOff>
                    <xdr:row>48</xdr:row>
                    <xdr:rowOff>314325</xdr:rowOff>
                  </from>
                  <to>
                    <xdr:col>3</xdr:col>
                    <xdr:colOff>342900</xdr:colOff>
                    <xdr:row>50</xdr:row>
                    <xdr:rowOff>85725</xdr:rowOff>
                  </to>
                </anchor>
              </controlPr>
            </control>
          </mc:Choice>
        </mc:AlternateContent>
        <mc:AlternateContent xmlns:mc="http://schemas.openxmlformats.org/markup-compatibility/2006">
          <mc:Choice Requires="x14">
            <control shapeId="14342" r:id="rId8" name="Check Box 6">
              <controlPr locked="0" defaultSize="0" autoFill="0" autoLine="0" autoPict="0">
                <anchor moveWithCells="1">
                  <from>
                    <xdr:col>3</xdr:col>
                    <xdr:colOff>9525</xdr:colOff>
                    <xdr:row>48</xdr:row>
                    <xdr:rowOff>314325</xdr:rowOff>
                  </from>
                  <to>
                    <xdr:col>3</xdr:col>
                    <xdr:colOff>342900</xdr:colOff>
                    <xdr:row>50</xdr:row>
                    <xdr:rowOff>85725</xdr:rowOff>
                  </to>
                </anchor>
              </controlPr>
            </control>
          </mc:Choice>
        </mc:AlternateContent>
        <mc:AlternateContent xmlns:mc="http://schemas.openxmlformats.org/markup-compatibility/2006">
          <mc:Choice Requires="x14">
            <control shapeId="14343" r:id="rId9" name="Check Box 7">
              <controlPr locked="0" defaultSize="0" autoFill="0" autoLine="0" autoPict="0">
                <anchor moveWithCells="1">
                  <from>
                    <xdr:col>3</xdr:col>
                    <xdr:colOff>9525</xdr:colOff>
                    <xdr:row>50</xdr:row>
                    <xdr:rowOff>228600</xdr:rowOff>
                  </from>
                  <to>
                    <xdr:col>3</xdr:col>
                    <xdr:colOff>266700</xdr:colOff>
                    <xdr:row>52</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FC82C-BCCC-40F7-AFCC-A1997A7172B3}">
  <sheetPr codeName="Sheet6">
    <tabColor theme="7" tint="0.59999389629810485"/>
    <pageSetUpPr fitToPage="1"/>
  </sheetPr>
  <dimension ref="A1:HR205"/>
  <sheetViews>
    <sheetView zoomScaleNormal="100" workbookViewId="0">
      <pane ySplit="11" topLeftCell="A12" activePane="bottomLeft" state="frozen"/>
      <selection activeCell="E29" sqref="E29:K29"/>
      <selection pane="bottomLeft" activeCell="E29" sqref="E29:K29"/>
    </sheetView>
  </sheetViews>
  <sheetFormatPr defaultColWidth="8.85546875" defaultRowHeight="15" x14ac:dyDescent="0.25"/>
  <cols>
    <col min="1" max="1" width="19.85546875" style="16" customWidth="1"/>
    <col min="2" max="2" width="90.85546875" style="16" bestFit="1" customWidth="1"/>
    <col min="3" max="3" width="39.5703125" style="16" customWidth="1"/>
    <col min="4" max="4" width="18" style="16" customWidth="1"/>
    <col min="5" max="5" width="36.140625" style="16" customWidth="1"/>
    <col min="6" max="6" width="18.140625" style="16" customWidth="1"/>
    <col min="7" max="7" width="7.28515625" style="16" hidden="1" customWidth="1"/>
    <col min="8" max="8" width="16.42578125" style="16" bestFit="1" customWidth="1"/>
    <col min="9" max="9" width="16.7109375" style="16" customWidth="1"/>
    <col min="10" max="10" width="22.140625" style="214" hidden="1" customWidth="1"/>
    <col min="11" max="11" width="8.85546875" style="268" hidden="1" customWidth="1"/>
    <col min="12" max="12" width="10.28515625" style="268" hidden="1" customWidth="1"/>
    <col min="13" max="15" width="8.85546875" style="268" hidden="1" customWidth="1"/>
    <col min="16" max="16" width="8.85546875" style="16" customWidth="1"/>
    <col min="17" max="16384" width="8.85546875" style="16"/>
  </cols>
  <sheetData>
    <row r="1" spans="1:226" s="19" customFormat="1" ht="34.5" thickBot="1" x14ac:dyDescent="0.55000000000000004">
      <c r="A1" s="337" t="s">
        <v>43</v>
      </c>
      <c r="B1" s="338"/>
      <c r="C1" s="338"/>
      <c r="D1" s="338"/>
      <c r="E1" s="338"/>
      <c r="F1" s="338"/>
      <c r="G1" s="71"/>
      <c r="H1" s="77"/>
      <c r="I1" s="18"/>
      <c r="K1" s="113"/>
      <c r="L1" s="113"/>
      <c r="M1" s="113"/>
      <c r="N1" s="113"/>
      <c r="O1" s="113"/>
    </row>
    <row r="2" spans="1:226" s="13" customFormat="1" ht="52.5" customHeight="1" thickBot="1" x14ac:dyDescent="0.3">
      <c r="A2" s="339" t="s">
        <v>92</v>
      </c>
      <c r="B2" s="340"/>
      <c r="C2" s="340"/>
      <c r="D2" s="340"/>
      <c r="E2" s="340"/>
      <c r="F2" s="340"/>
      <c r="G2" s="72"/>
      <c r="H2" s="78"/>
      <c r="I2" s="12"/>
      <c r="K2" s="115"/>
      <c r="L2" s="115"/>
      <c r="M2" s="115"/>
      <c r="N2" s="115"/>
      <c r="O2" s="115"/>
    </row>
    <row r="3" spans="1:226" s="13" customFormat="1" ht="33.75" customHeight="1" thickBot="1" x14ac:dyDescent="0.3">
      <c r="A3" s="341" t="s">
        <v>44</v>
      </c>
      <c r="B3" s="342"/>
      <c r="C3" s="342"/>
      <c r="D3" s="342"/>
      <c r="E3" s="342"/>
      <c r="F3" s="343"/>
      <c r="G3" s="73"/>
      <c r="H3" s="79"/>
      <c r="I3"/>
      <c r="J3"/>
      <c r="K3" s="115"/>
      <c r="L3" s="115"/>
      <c r="M3" s="115"/>
      <c r="N3" s="115"/>
      <c r="O3" s="115"/>
    </row>
    <row r="4" spans="1:226" s="14" customFormat="1" ht="57" customHeight="1" thickBot="1" x14ac:dyDescent="0.35">
      <c r="A4" s="102" t="s">
        <v>42</v>
      </c>
      <c r="B4" s="103"/>
      <c r="C4" s="103"/>
      <c r="D4" s="104" t="s">
        <v>38</v>
      </c>
      <c r="E4" s="105" t="str">
        <f>IFERROR('Tiered Cart Pricing Formulas'!F25,"")</f>
        <v>Does not meet $500 minimum</v>
      </c>
      <c r="F4" s="106" t="s">
        <v>84</v>
      </c>
      <c r="G4" s="107"/>
      <c r="H4" s="255" t="str">
        <f>IFERROR(VLOOKUP('Tiered Cart Pricing Formulas'!J24,'Tiered Pricing Chart'!A3:E31,5,TRUE),"")</f>
        <v/>
      </c>
      <c r="I4"/>
      <c r="J4"/>
      <c r="K4" s="130"/>
      <c r="L4" s="130"/>
      <c r="M4" s="130"/>
      <c r="N4" s="130"/>
      <c r="O4" s="130"/>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row>
    <row r="5" spans="1:226" s="14" customFormat="1" ht="19.5" x14ac:dyDescent="0.3">
      <c r="A5" s="334" t="s">
        <v>87</v>
      </c>
      <c r="B5" s="335"/>
      <c r="C5" s="335"/>
      <c r="D5" s="335"/>
      <c r="E5" s="335"/>
      <c r="F5" s="336"/>
      <c r="G5" s="74"/>
      <c r="H5"/>
      <c r="I5"/>
      <c r="J5"/>
      <c r="K5" s="130"/>
      <c r="L5" s="130"/>
      <c r="M5" s="130"/>
      <c r="N5" s="130"/>
      <c r="O5" s="130"/>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row>
    <row r="6" spans="1:226" customFormat="1" ht="19.5" customHeight="1" x14ac:dyDescent="0.25">
      <c r="A6" s="56" t="s">
        <v>7</v>
      </c>
      <c r="B6" s="56" t="s">
        <v>0</v>
      </c>
      <c r="C6" s="56" t="s">
        <v>1</v>
      </c>
      <c r="D6" s="56" t="s">
        <v>2</v>
      </c>
      <c r="E6" s="54" t="s">
        <v>8</v>
      </c>
      <c r="F6" s="55" t="s">
        <v>28</v>
      </c>
      <c r="G6" s="75"/>
      <c r="K6" s="124"/>
      <c r="L6" s="124"/>
      <c r="M6" s="124"/>
      <c r="N6" s="124"/>
      <c r="O6" s="124"/>
    </row>
    <row r="7" spans="1:226" customFormat="1" ht="15" customHeight="1" x14ac:dyDescent="0.25">
      <c r="A7" s="39">
        <v>1</v>
      </c>
      <c r="B7" s="40" t="s">
        <v>10</v>
      </c>
      <c r="C7" s="41" t="s">
        <v>36</v>
      </c>
      <c r="D7" s="40"/>
      <c r="E7" s="42"/>
      <c r="F7" s="53">
        <v>1009251</v>
      </c>
      <c r="G7" s="76"/>
      <c r="J7" s="1"/>
      <c r="K7" s="124"/>
      <c r="L7" s="124"/>
      <c r="M7" s="124"/>
      <c r="N7" s="124"/>
      <c r="O7" s="124"/>
    </row>
    <row r="8" spans="1:226" customFormat="1" ht="15" customHeight="1" x14ac:dyDescent="0.25">
      <c r="A8" s="44">
        <v>1</v>
      </c>
      <c r="B8" s="45" t="s">
        <v>39</v>
      </c>
      <c r="C8" s="46" t="s">
        <v>36</v>
      </c>
      <c r="D8" s="45"/>
      <c r="E8" s="47"/>
      <c r="F8" s="43"/>
      <c r="G8" s="76"/>
      <c r="J8" s="1"/>
      <c r="K8" s="124"/>
      <c r="L8" s="124"/>
      <c r="M8" s="124"/>
      <c r="N8" s="124"/>
      <c r="O8" s="124"/>
    </row>
    <row r="9" spans="1:226" customFormat="1" ht="15" customHeight="1" x14ac:dyDescent="0.25">
      <c r="A9" s="44">
        <v>1</v>
      </c>
      <c r="B9" s="45" t="s">
        <v>37</v>
      </c>
      <c r="C9" s="46" t="s">
        <v>36</v>
      </c>
      <c r="D9" s="45"/>
      <c r="E9" s="47"/>
      <c r="F9" s="43">
        <v>1016020</v>
      </c>
      <c r="G9" s="76"/>
      <c r="I9" s="16"/>
      <c r="J9" s="1"/>
      <c r="K9" s="124"/>
      <c r="L9" s="124"/>
      <c r="M9" s="124"/>
      <c r="N9" s="124"/>
      <c r="O9" s="124"/>
    </row>
    <row r="10" spans="1:226" customFormat="1" ht="15" customHeight="1" x14ac:dyDescent="0.25">
      <c r="A10" s="334" t="s">
        <v>86</v>
      </c>
      <c r="B10" s="335"/>
      <c r="C10" s="335"/>
      <c r="D10" s="335"/>
      <c r="E10" s="335"/>
      <c r="F10" s="336"/>
      <c r="G10" s="76"/>
      <c r="I10" s="16"/>
      <c r="J10" s="1"/>
      <c r="K10" s="124"/>
      <c r="L10" s="124"/>
      <c r="M10" s="124"/>
      <c r="N10" s="124"/>
      <c r="O10" s="124"/>
    </row>
    <row r="11" spans="1:226" customFormat="1" ht="31.5" x14ac:dyDescent="0.25">
      <c r="A11" s="100" t="s">
        <v>7</v>
      </c>
      <c r="B11" s="100" t="s">
        <v>0</v>
      </c>
      <c r="C11" s="100" t="s">
        <v>1</v>
      </c>
      <c r="D11" s="100" t="s">
        <v>2</v>
      </c>
      <c r="E11" s="100" t="s">
        <v>8</v>
      </c>
      <c r="F11" s="98" t="s">
        <v>28</v>
      </c>
      <c r="G11" s="99"/>
      <c r="H11" s="98" t="s">
        <v>131</v>
      </c>
      <c r="I11" s="98" t="s">
        <v>132</v>
      </c>
      <c r="J11" s="1" t="s">
        <v>153</v>
      </c>
      <c r="K11" s="1" t="s">
        <v>154</v>
      </c>
      <c r="L11" s="124" t="s">
        <v>154</v>
      </c>
      <c r="M11" s="124" t="s">
        <v>154</v>
      </c>
      <c r="N11" s="124" t="s">
        <v>154</v>
      </c>
      <c r="O11" s="124" t="s">
        <v>154</v>
      </c>
    </row>
    <row r="12" spans="1:226" ht="15" customHeight="1" x14ac:dyDescent="0.25">
      <c r="A12" s="118"/>
      <c r="B12" s="49" t="str">
        <f>INDEX('Pricing (Drugs) SS'!$B:$B,MATCH(F12,'Pricing (Drugs) SS'!$A:$A,0))</f>
        <v>ADENOSINE</v>
      </c>
      <c r="C12" s="50" t="str">
        <f>IF(LEFT(F12,6)="Header","",INDEX('Pricing (Drugs) SS'!$E:$E,MATCH(F12,'Pricing (Drugs) SS'!$A:$A,0)))</f>
        <v/>
      </c>
      <c r="D12" s="49" t="str">
        <f>IF(LEFT(F12,6)="header","",INDEX('Pricing (Drugs) SS'!$F:$F,MATCH(F12,'Pricing (Drugs) SS'!$A:$A,0)))</f>
        <v/>
      </c>
      <c r="E12" s="51" t="str">
        <f>IF(LEFT(F12,6)="Header","",INDEX('Pricing (Drugs) SS'!$D:$D,MATCH(F12,'Pricing (Drugs) SS'!$A:$A,0)))</f>
        <v/>
      </c>
      <c r="F12" s="119" t="s">
        <v>1538</v>
      </c>
      <c r="G12" s="214" t="str">
        <f>IF(LEFT(F12,6)="Header","",INDEX('Tiered Cart Pricing Formulas'!$N:$N,MATCH(F12,'Tiered Cart Pricing Formulas'!$F:$F,0)))</f>
        <v/>
      </c>
      <c r="H12" s="51"/>
      <c r="I12" s="272"/>
      <c r="J12" s="214" t="str">
        <f>IF(M12="header","",INDEX('Tiered Cart Pricing Formulas'!$N:$N,MATCH(F12,'Tiered Cart Pricing Formulas'!$F:$F,0)))</f>
        <v/>
      </c>
      <c r="K12" s="268" t="str">
        <f>IF(LEFT(F12,6)="header","",INDEX('Tiered Cart Pricing Formulas'!$M:$M,MATCH(F12,'Tiered Cart Pricing Formulas'!$F:$F,0)))</f>
        <v/>
      </c>
      <c r="L12" s="268" cm="1">
        <f t="array" aca="1" ref="L12" ca="1">CELL("protect",A12)</f>
        <v>1</v>
      </c>
      <c r="M12" s="268" t="str">
        <f t="shared" ref="M12:M75" si="0">LEFT(F12,6)</f>
        <v>HEADER</v>
      </c>
      <c r="N12" s="268" t="str">
        <f ca="1">IF(AND(L12=1,M12="header"),"Good",IF(AND(M12&lt;&gt;"Header",L12=0),"Good","Bad"))</f>
        <v>Good</v>
      </c>
      <c r="O12" s="268" t="str">
        <f>IF(M12="header","",INDEX('Tiered Cart Pricing Formulas'!$O:$O,MATCH(F12,'Tiered Cart Pricing Formulas'!$F:$F,0)))</f>
        <v/>
      </c>
    </row>
    <row r="13" spans="1:226" ht="15" customHeight="1" x14ac:dyDescent="0.25">
      <c r="A13" s="48"/>
      <c r="B13" s="49" t="str">
        <f>INDEX('Pricing (Drugs) SS'!$B:$B,MATCH(F13,'Pricing (Drugs) SS'!$A:$A,0))</f>
        <v>ADENOSINE INJECTION, USP 6mg/2mL (3mg/mL) 2mL VIAL</v>
      </c>
      <c r="C13" s="50" t="str">
        <f>IF(LEFT(F13,6)="Header","",INDEX('Pricing (Drugs) SS'!$E:$E,MATCH(F13,'Pricing (Drugs) SS'!$A:$A,0)))</f>
        <v>3mg/mL</v>
      </c>
      <c r="D13" s="49" t="str">
        <f>IF(LEFT(F13,6)="header","",INDEX('Pricing (Drugs) SS'!$F:$F,MATCH(F13,'Pricing (Drugs) SS'!$A:$A,0)))</f>
        <v>2mL</v>
      </c>
      <c r="E13" s="51" t="str">
        <f>IF(LEFT(F13,6)="Header","",INDEX('Pricing (Drugs) SS'!$D:$D,MATCH(F13,'Pricing (Drugs) SS'!$A:$A,0)))</f>
        <v>63323-651-02</v>
      </c>
      <c r="F13" s="119">
        <v>1020490</v>
      </c>
      <c r="G13" s="214" t="str">
        <f>IF(LEFT(F13,6)="Header","",INDEX('Tiered Cart Pricing Formulas'!$N:$N,MATCH(F13,'Tiered Cart Pricing Formulas'!$F:$F,0)))</f>
        <v/>
      </c>
      <c r="H13" s="271"/>
      <c r="I13" s="270"/>
      <c r="J13" s="214" t="str">
        <f>IF(M13="header","",INDEX('Tiered Cart Pricing Formulas'!$N:$N,MATCH(F13,'Tiered Cart Pricing Formulas'!$F:$F,0)))</f>
        <v/>
      </c>
      <c r="K13" s="268" t="str">
        <f>IF(LEFT(F13,6)="header","",INDEX('Tiered Cart Pricing Formulas'!$M:$M,MATCH(F13,'Tiered Cart Pricing Formulas'!$F:$F,0)))</f>
        <v/>
      </c>
      <c r="L13" s="268" cm="1">
        <f t="array" aca="1" ref="L13" ca="1">CELL("protect",A13)</f>
        <v>0</v>
      </c>
      <c r="M13" s="268" t="str">
        <f t="shared" si="0"/>
        <v>102049</v>
      </c>
      <c r="N13" s="268" t="str">
        <f t="shared" ref="N13:N76" ca="1" si="1">IF(AND(L13=1,M13="header"),"Good",IF(AND(M13&lt;&gt;"Header",L13=0),"Good","Bad"))</f>
        <v>Good</v>
      </c>
      <c r="O13" s="268" t="str">
        <f>IF(M13="header","",INDEX('Tiered Cart Pricing Formulas'!$O:$O,MATCH(F13,'Tiered Cart Pricing Formulas'!$F:$F,0)))</f>
        <v/>
      </c>
    </row>
    <row r="14" spans="1:226" ht="15" customHeight="1" x14ac:dyDescent="0.25">
      <c r="A14" s="48"/>
      <c r="B14" s="49" t="str">
        <f>INDEX('Pricing (Drugs) SS'!$B:$B,MATCH(F14,'Pricing (Drugs) SS'!$A:$A,0))</f>
        <v>ADENOSINE INJECTION, USP 12mg/4mL (3mg/mL) 4mL VIAL</v>
      </c>
      <c r="C14" s="50" t="str">
        <f>IF(LEFT(F14,6)="Header","",INDEX('Pricing (Drugs) SS'!$E:$E,MATCH(F14,'Pricing (Drugs) SS'!$A:$A,0)))</f>
        <v>3mg/mL</v>
      </c>
      <c r="D14" s="49" t="str">
        <f>IF(LEFT(F14,6)="header","",INDEX('Pricing (Drugs) SS'!$F:$F,MATCH(F14,'Pricing (Drugs) SS'!$A:$A,0)))</f>
        <v>4mL</v>
      </c>
      <c r="E14" s="51" t="str">
        <f>IF(LEFT(F14,6)="Header","",INDEX('Pricing (Drugs) SS'!$D:$D,MATCH(F14,'Pricing (Drugs) SS'!$A:$A,0)))</f>
        <v>63323-651-04</v>
      </c>
      <c r="F14" s="119">
        <v>1012700</v>
      </c>
      <c r="G14" s="214" t="str">
        <f>IF(LEFT(F14,6)="Header","",INDEX('Tiered Cart Pricing Formulas'!$N:$N,MATCH(F14,'Tiered Cart Pricing Formulas'!$F:$F,0)))</f>
        <v/>
      </c>
      <c r="H14" s="269"/>
      <c r="I14" s="270"/>
      <c r="J14" s="214" t="str">
        <f>IF(M14="header","",INDEX('Tiered Cart Pricing Formulas'!$N:$N,MATCH(F14,'Tiered Cart Pricing Formulas'!$F:$F,0)))</f>
        <v/>
      </c>
      <c r="K14" s="268" t="str">
        <f>IF(LEFT(F14,6)="header","",INDEX('Tiered Cart Pricing Formulas'!$M:$M,MATCH(F14,'Tiered Cart Pricing Formulas'!$F:$F,0)))</f>
        <v/>
      </c>
      <c r="L14" s="268" cm="1">
        <f t="array" aca="1" ref="L14" ca="1">CELL("protect",A14)</f>
        <v>0</v>
      </c>
      <c r="M14" s="268" t="str">
        <f t="shared" si="0"/>
        <v>101270</v>
      </c>
      <c r="N14" s="268" t="str">
        <f t="shared" ca="1" si="1"/>
        <v>Good</v>
      </c>
      <c r="O14" s="268" t="str">
        <f>IF(M14="header","",INDEX('Tiered Cart Pricing Formulas'!$O:$O,MATCH(F14,'Tiered Cart Pricing Formulas'!$F:$F,0)))</f>
        <v/>
      </c>
    </row>
    <row r="15" spans="1:226" ht="15" customHeight="1" x14ac:dyDescent="0.25">
      <c r="A15" s="48"/>
      <c r="B15" s="49" t="str">
        <f>INDEX('Pricing (Drugs) SS'!$B:$B,MATCH(F15,'Pricing (Drugs) SS'!$A:$A,0))</f>
        <v>ADENOSINE INJECTION, USP 12mg PER 4mL (3mg PER mL) 4mL SYR</v>
      </c>
      <c r="C15" s="50" t="str">
        <f>IF(LEFT(F15,6)="Header","",INDEX('Pricing (Drugs) SS'!$E:$E,MATCH(F15,'Pricing (Drugs) SS'!$A:$A,0)))</f>
        <v>3mg/mL</v>
      </c>
      <c r="D15" s="49" t="str">
        <f>IF(LEFT(F15,6)="header","",INDEX('Pricing (Drugs) SS'!$F:$F,MATCH(F15,'Pricing (Drugs) SS'!$A:$A,0)))</f>
        <v>4mL</v>
      </c>
      <c r="E15" s="51" t="str">
        <f>IF(LEFT(F15,6)="Header","",INDEX('Pricing (Drugs) SS'!$D:$D,MATCH(F15,'Pricing (Drugs) SS'!$A:$A,0)))</f>
        <v>63323-651-90</v>
      </c>
      <c r="F15" s="119">
        <v>1021740</v>
      </c>
      <c r="G15" s="214" t="str">
        <f>IF(LEFT(F15,6)="Header","",INDEX('Tiered Cart Pricing Formulas'!$N:$N,MATCH(F15,'Tiered Cart Pricing Formulas'!$F:$F,0)))</f>
        <v/>
      </c>
      <c r="H15" s="269"/>
      <c r="I15" s="270"/>
      <c r="J15" s="214" t="str">
        <f>IF(M15="header","",INDEX('Tiered Cart Pricing Formulas'!$N:$N,MATCH(F15,'Tiered Cart Pricing Formulas'!$F:$F,0)))</f>
        <v/>
      </c>
      <c r="K15" s="268" t="str">
        <f>IF(LEFT(F15,6)="header","",INDEX('Tiered Cart Pricing Formulas'!$M:$M,MATCH(F15,'Tiered Cart Pricing Formulas'!$F:$F,0)))</f>
        <v/>
      </c>
      <c r="L15" s="268" cm="1">
        <f t="array" aca="1" ref="L15" ca="1">CELL("protect",A15)</f>
        <v>0</v>
      </c>
      <c r="M15" s="268" t="str">
        <f t="shared" si="0"/>
        <v>102174</v>
      </c>
      <c r="N15" s="268" t="str">
        <f t="shared" ca="1" si="1"/>
        <v>Good</v>
      </c>
      <c r="O15" s="268" t="str">
        <f>IF(M15="header","",INDEX('Tiered Cart Pricing Formulas'!$O:$O,MATCH(F15,'Tiered Cart Pricing Formulas'!$F:$F,0)))</f>
        <v/>
      </c>
    </row>
    <row r="16" spans="1:226" ht="15" customHeight="1" x14ac:dyDescent="0.25">
      <c r="A16" s="118"/>
      <c r="B16" s="49" t="str">
        <f>INDEX('Pricing (Drugs) SS'!$B:$B,MATCH(F16,'Pricing (Drugs) SS'!$A:$A,0))</f>
        <v>ALBUTEROL</v>
      </c>
      <c r="C16" s="50" t="str">
        <f>IF(LEFT(F16,6)="Header","",INDEX('Pricing (Drugs) SS'!$E:$E,MATCH(F16,'Pricing (Drugs) SS'!$A:$A,0)))</f>
        <v/>
      </c>
      <c r="D16" s="49" t="str">
        <f>IF(LEFT(F16,6)="header","",INDEX('Pricing (Drugs) SS'!$F:$F,MATCH(F16,'Pricing (Drugs) SS'!$A:$A,0)))</f>
        <v/>
      </c>
      <c r="E16" s="51" t="str">
        <f>IF(LEFT(F16,6)="Header","",INDEX('Pricing (Drugs) SS'!$D:$D,MATCH(F16,'Pricing (Drugs) SS'!$A:$A,0)))</f>
        <v/>
      </c>
      <c r="F16" s="119" t="s">
        <v>1539</v>
      </c>
      <c r="G16" s="214" t="str">
        <f>IF(LEFT(F16,6)="Header","",INDEX('Tiered Cart Pricing Formulas'!$N:$N,MATCH(F16,'Tiered Cart Pricing Formulas'!$F:$F,0)))</f>
        <v/>
      </c>
      <c r="H16" s="51"/>
      <c r="I16" s="272"/>
      <c r="J16" s="214" t="str">
        <f>IF(M16="header","",INDEX('Tiered Cart Pricing Formulas'!$N:$N,MATCH(F16,'Tiered Cart Pricing Formulas'!$F:$F,0)))</f>
        <v/>
      </c>
      <c r="K16" s="268" t="str">
        <f>IF(LEFT(F16,6)="header","",INDEX('Tiered Cart Pricing Formulas'!$M:$M,MATCH(F16,'Tiered Cart Pricing Formulas'!$F:$F,0)))</f>
        <v/>
      </c>
      <c r="L16" s="268" cm="1">
        <f t="array" aca="1" ref="L16" ca="1">CELL("protect",A16)</f>
        <v>1</v>
      </c>
      <c r="M16" s="268" t="str">
        <f t="shared" si="0"/>
        <v>HEADER</v>
      </c>
      <c r="N16" s="268" t="str">
        <f t="shared" ca="1" si="1"/>
        <v>Good</v>
      </c>
      <c r="O16" s="268" t="str">
        <f>IF(M16="header","",INDEX('Tiered Cart Pricing Formulas'!$O:$O,MATCH(F16,'Tiered Cart Pricing Formulas'!$F:$F,0)))</f>
        <v/>
      </c>
    </row>
    <row r="17" spans="1:15" ht="15" customHeight="1" x14ac:dyDescent="0.25">
      <c r="A17" s="48"/>
      <c r="B17" s="49" t="str">
        <f>INDEX('Pricing (Drugs) SS'!$B:$B,MATCH(F17,'Pricing (Drugs) SS'!$A:$A,0))</f>
        <v>VENTOLIN® HFA (ALBUTEROL SULFATE) 90mcg BOXED</v>
      </c>
      <c r="C17" s="50" t="str">
        <f>IF(LEFT(F17,6)="Header","",INDEX('Pricing (Drugs) SS'!$E:$E,MATCH(F17,'Pricing (Drugs) SS'!$A:$A,0)))</f>
        <v>90mcg</v>
      </c>
      <c r="D17" s="49" t="str">
        <f>IF(LEFT(F17,6)="header","",INDEX('Pricing (Drugs) SS'!$F:$F,MATCH(F17,'Pricing (Drugs) SS'!$A:$A,0)))</f>
        <v>8gm</v>
      </c>
      <c r="E17" s="51" t="str">
        <f>IF(LEFT(F17,6)="Header","",INDEX('Pricing (Drugs) SS'!$D:$D,MATCH(F17,'Pricing (Drugs) SS'!$A:$A,0)))</f>
        <v>0173-0682-24</v>
      </c>
      <c r="F17" s="119">
        <v>1000700</v>
      </c>
      <c r="G17" s="214" t="str">
        <f>IF(LEFT(F17,6)="Header","",INDEX('Tiered Cart Pricing Formulas'!$N:$N,MATCH(F17,'Tiered Cart Pricing Formulas'!$F:$F,0)))</f>
        <v/>
      </c>
      <c r="H17" s="269"/>
      <c r="I17" s="270"/>
      <c r="J17" s="214" t="str">
        <f>IF(M17="header","",INDEX('Tiered Cart Pricing Formulas'!$N:$N,MATCH(F17,'Tiered Cart Pricing Formulas'!$F:$F,0)))</f>
        <v/>
      </c>
      <c r="K17" s="268" t="str">
        <f>IF(LEFT(F17,6)="header","",INDEX('Tiered Cart Pricing Formulas'!$M:$M,MATCH(F17,'Tiered Cart Pricing Formulas'!$F:$F,0)))</f>
        <v/>
      </c>
      <c r="L17" s="268" cm="1">
        <f t="array" aca="1" ref="L17" ca="1">CELL("protect",A17)</f>
        <v>0</v>
      </c>
      <c r="M17" s="268" t="str">
        <f t="shared" si="0"/>
        <v>100070</v>
      </c>
      <c r="N17" s="268" t="str">
        <f t="shared" ca="1" si="1"/>
        <v>Good</v>
      </c>
      <c r="O17" s="268" t="str">
        <f>IF(M17="header","",INDEX('Tiered Cart Pricing Formulas'!$O:$O,MATCH(F17,'Tiered Cart Pricing Formulas'!$F:$F,0)))</f>
        <v/>
      </c>
    </row>
    <row r="18" spans="1:15" ht="15" customHeight="1" x14ac:dyDescent="0.25">
      <c r="A18" s="118"/>
      <c r="B18" s="49" t="str">
        <f>INDEX('Pricing (Drugs) SS'!$B:$B,MATCH(F18,'Pricing (Drugs) SS'!$A:$A,0))</f>
        <v>AMINOPHYLLINE</v>
      </c>
      <c r="C18" s="50" t="str">
        <f>IF(LEFT(F18,6)="Header","",INDEX('Pricing (Drugs) SS'!$E:$E,MATCH(F18,'Pricing (Drugs) SS'!$A:$A,0)))</f>
        <v/>
      </c>
      <c r="D18" s="49" t="str">
        <f>IF(LEFT(F18,6)="header","",INDEX('Pricing (Drugs) SS'!$F:$F,MATCH(F18,'Pricing (Drugs) SS'!$A:$A,0)))</f>
        <v/>
      </c>
      <c r="E18" s="51" t="str">
        <f>IF(LEFT(F18,6)="Header","",INDEX('Pricing (Drugs) SS'!$D:$D,MATCH(F18,'Pricing (Drugs) SS'!$A:$A,0)))</f>
        <v/>
      </c>
      <c r="F18" s="119" t="s">
        <v>1540</v>
      </c>
      <c r="G18" s="214" t="str">
        <f>IF(LEFT(F18,6)="Header","",INDEX('Tiered Cart Pricing Formulas'!$N:$N,MATCH(F18,'Tiered Cart Pricing Formulas'!$F:$F,0)))</f>
        <v/>
      </c>
      <c r="H18" s="51"/>
      <c r="I18" s="272"/>
      <c r="J18" s="214" t="str">
        <f>IF(M18="header","",INDEX('Tiered Cart Pricing Formulas'!$N:$N,MATCH(F18,'Tiered Cart Pricing Formulas'!$F:$F,0)))</f>
        <v/>
      </c>
      <c r="K18" s="268" t="str">
        <f>IF(LEFT(F18,6)="header","",INDEX('Tiered Cart Pricing Formulas'!$M:$M,MATCH(F18,'Tiered Cart Pricing Formulas'!$F:$F,0)))</f>
        <v/>
      </c>
      <c r="L18" s="268" cm="1">
        <f t="array" aca="1" ref="L18" ca="1">CELL("protect",A18)</f>
        <v>1</v>
      </c>
      <c r="M18" s="268" t="str">
        <f t="shared" si="0"/>
        <v>HEADER</v>
      </c>
      <c r="N18" s="268" t="str">
        <f t="shared" ca="1" si="1"/>
        <v>Good</v>
      </c>
      <c r="O18" s="268" t="str">
        <f>IF(M18="header","",INDEX('Tiered Cart Pricing Formulas'!$O:$O,MATCH(F18,'Tiered Cart Pricing Formulas'!$F:$F,0)))</f>
        <v/>
      </c>
    </row>
    <row r="19" spans="1:15" ht="15" customHeight="1" x14ac:dyDescent="0.25">
      <c r="A19" s="48"/>
      <c r="B19" s="49" t="str">
        <f>INDEX('Pricing (Drugs) SS'!$B:$B,MATCH(F19,'Pricing (Drugs) SS'!$A:$A,0))</f>
        <v>AMINOPHYLLINE INJECTION, USP 250mg (25mg/mL) 10mL VIAL</v>
      </c>
      <c r="C19" s="50" t="str">
        <f>IF(LEFT(F19,6)="Header","",INDEX('Pricing (Drugs) SS'!$E:$E,MATCH(F19,'Pricing (Drugs) SS'!$A:$A,0)))</f>
        <v>25mg/mL</v>
      </c>
      <c r="D19" s="49" t="str">
        <f>IF(LEFT(F19,6)="header","",INDEX('Pricing (Drugs) SS'!$F:$F,MATCH(F19,'Pricing (Drugs) SS'!$A:$A,0)))</f>
        <v>10mL</v>
      </c>
      <c r="E19" s="51" t="str">
        <f>IF(LEFT(F19,6)="Header","",INDEX('Pricing (Drugs) SS'!$D:$D,MATCH(F19,'Pricing (Drugs) SS'!$A:$A,0)))</f>
        <v>0409-5921-01</v>
      </c>
      <c r="F19" s="119">
        <v>1000050</v>
      </c>
      <c r="G19" s="214" t="str">
        <f>IF(LEFT(F19,6)="Header","",INDEX('Tiered Cart Pricing Formulas'!$N:$N,MATCH(F19,'Tiered Cart Pricing Formulas'!$F:$F,0)))</f>
        <v/>
      </c>
      <c r="H19" s="269"/>
      <c r="I19" s="270"/>
      <c r="J19" s="214" t="str">
        <f>IF(M19="header","",INDEX('Tiered Cart Pricing Formulas'!$N:$N,MATCH(F19,'Tiered Cart Pricing Formulas'!$F:$F,0)))</f>
        <v/>
      </c>
      <c r="K19" s="268" t="str">
        <f>IF(LEFT(F19,6)="header","",INDEX('Tiered Cart Pricing Formulas'!$M:$M,MATCH(F19,'Tiered Cart Pricing Formulas'!$F:$F,0)))</f>
        <v/>
      </c>
      <c r="L19" s="268" cm="1">
        <f t="array" aca="1" ref="L19" ca="1">CELL("protect",A19)</f>
        <v>0</v>
      </c>
      <c r="M19" s="268" t="str">
        <f t="shared" si="0"/>
        <v>100005</v>
      </c>
      <c r="N19" s="268" t="str">
        <f t="shared" ca="1" si="1"/>
        <v>Good</v>
      </c>
      <c r="O19" s="268" t="str">
        <f>IF(M19="header","",INDEX('Tiered Cart Pricing Formulas'!$O:$O,MATCH(F19,'Tiered Cart Pricing Formulas'!$F:$F,0)))</f>
        <v/>
      </c>
    </row>
    <row r="20" spans="1:15" s="263" customFormat="1" ht="15" customHeight="1" x14ac:dyDescent="0.25">
      <c r="A20" s="48"/>
      <c r="B20" s="49" t="str">
        <f>INDEX('Pricing (Drugs) SS'!$B:$B,MATCH(F20,'Pricing (Drugs) SS'!$A:$A,0))</f>
        <v>AMINOPHYLLINE INJ., USP 500mg (25mg/mL) 20mL VIAL</v>
      </c>
      <c r="C20" s="50" t="str">
        <f>IF(LEFT(F20,6)="Header","",INDEX('Pricing (Drugs) SS'!$E:$E,MATCH(F20,'Pricing (Drugs) SS'!$A:$A,0)))</f>
        <v>25mg/mL</v>
      </c>
      <c r="D20" s="49" t="str">
        <f>IF(LEFT(F20,6)="header","",INDEX('Pricing (Drugs) SS'!$F:$F,MATCH(F20,'Pricing (Drugs) SS'!$A:$A,0)))</f>
        <v>20mL</v>
      </c>
      <c r="E20" s="51" t="str">
        <f>IF(LEFT(F20,6)="Header","",INDEX('Pricing (Drugs) SS'!$D:$D,MATCH(F20,'Pricing (Drugs) SS'!$A:$A,0)))</f>
        <v>0409-5922-01</v>
      </c>
      <c r="F20" s="119">
        <v>1010140</v>
      </c>
      <c r="G20" s="214" t="str">
        <f>IF(LEFT(F20,6)="Header","",INDEX('Tiered Cart Pricing Formulas'!$N:$N,MATCH(F20,'Tiered Cart Pricing Formulas'!$F:$F,0)))</f>
        <v/>
      </c>
      <c r="H20" s="269"/>
      <c r="I20" s="270"/>
      <c r="J20" s="214" t="str">
        <f>IF(M20="header","",INDEX('Tiered Cart Pricing Formulas'!$N:$N,MATCH(F20,'Tiered Cart Pricing Formulas'!$F:$F,0)))</f>
        <v/>
      </c>
      <c r="K20" s="268" t="str">
        <f>IF(LEFT(F20,6)="header","",INDEX('Tiered Cart Pricing Formulas'!$M:$M,MATCH(F20,'Tiered Cart Pricing Formulas'!$F:$F,0)))</f>
        <v/>
      </c>
      <c r="L20" s="268" cm="1">
        <f t="array" aca="1" ref="L20" ca="1">CELL("protect",A20)</f>
        <v>0</v>
      </c>
      <c r="M20" s="268" t="str">
        <f t="shared" si="0"/>
        <v>101014</v>
      </c>
      <c r="N20" s="268" t="str">
        <f t="shared" ca="1" si="1"/>
        <v>Good</v>
      </c>
      <c r="O20" s="268" t="str">
        <f>IF(M20="header","",INDEX('Tiered Cart Pricing Formulas'!$O:$O,MATCH(F20,'Tiered Cart Pricing Formulas'!$F:$F,0)))</f>
        <v/>
      </c>
    </row>
    <row r="21" spans="1:15" ht="15" customHeight="1" x14ac:dyDescent="0.25">
      <c r="A21" s="118"/>
      <c r="B21" s="49" t="str">
        <f>INDEX('Pricing (Drugs) SS'!$B:$B,MATCH(F21,'Pricing (Drugs) SS'!$A:$A,0))</f>
        <v>AMIODARONE</v>
      </c>
      <c r="C21" s="50" t="str">
        <f>IF(LEFT(F21,6)="Header","",INDEX('Pricing (Drugs) SS'!$E:$E,MATCH(F21,'Pricing (Drugs) SS'!$A:$A,0)))</f>
        <v/>
      </c>
      <c r="D21" s="49" t="str">
        <f>IF(LEFT(F21,6)="header","",INDEX('Pricing (Drugs) SS'!$F:$F,MATCH(F21,'Pricing (Drugs) SS'!$A:$A,0)))</f>
        <v/>
      </c>
      <c r="E21" s="51" t="str">
        <f>IF(LEFT(F21,6)="Header","",INDEX('Pricing (Drugs) SS'!$D:$D,MATCH(F21,'Pricing (Drugs) SS'!$A:$A,0)))</f>
        <v/>
      </c>
      <c r="F21" s="119" t="s">
        <v>1541</v>
      </c>
      <c r="G21" s="214" t="str">
        <f>IF(LEFT(F21,6)="Header","",INDEX('Tiered Cart Pricing Formulas'!$N:$N,MATCH(F21,'Tiered Cart Pricing Formulas'!$F:$F,0)))</f>
        <v/>
      </c>
      <c r="H21" s="51"/>
      <c r="I21" s="272"/>
      <c r="J21" s="214" t="str">
        <f>IF(M21="header","",INDEX('Tiered Cart Pricing Formulas'!$N:$N,MATCH(F21,'Tiered Cart Pricing Formulas'!$F:$F,0)))</f>
        <v/>
      </c>
      <c r="K21" s="268" t="str">
        <f>IF(LEFT(F21,6)="header","",INDEX('Tiered Cart Pricing Formulas'!$M:$M,MATCH(F21,'Tiered Cart Pricing Formulas'!$F:$F,0)))</f>
        <v/>
      </c>
      <c r="L21" s="268" cm="1">
        <f t="array" aca="1" ref="L21" ca="1">CELL("protect",A21)</f>
        <v>1</v>
      </c>
      <c r="M21" s="268" t="str">
        <f t="shared" si="0"/>
        <v>HEADER</v>
      </c>
      <c r="N21" s="268" t="str">
        <f t="shared" ca="1" si="1"/>
        <v>Good</v>
      </c>
      <c r="O21" s="268" t="str">
        <f>IF(M21="header","",INDEX('Tiered Cart Pricing Formulas'!$O:$O,MATCH(F21,'Tiered Cart Pricing Formulas'!$F:$F,0)))</f>
        <v/>
      </c>
    </row>
    <row r="22" spans="1:15" ht="15" customHeight="1" x14ac:dyDescent="0.25">
      <c r="A22" s="48"/>
      <c r="B22" s="49" t="str">
        <f>INDEX('Pricing (Drugs) SS'!$B:$B,MATCH(F22,'Pricing (Drugs) SS'!$A:$A,0))</f>
        <v>AMIODARONE HYDROCHLORIDE INJECTION 150mg/3mL (50mg/mL) VIAL</v>
      </c>
      <c r="C22" s="50" t="str">
        <f>IF(LEFT(F22,6)="Header","",INDEX('Pricing (Drugs) SS'!$E:$E,MATCH(F22,'Pricing (Drugs) SS'!$A:$A,0)))</f>
        <v>50mg/mL</v>
      </c>
      <c r="D22" s="49" t="str">
        <f>IF(LEFT(F22,6)="header","",INDEX('Pricing (Drugs) SS'!$F:$F,MATCH(F22,'Pricing (Drugs) SS'!$A:$A,0)))</f>
        <v>3mL</v>
      </c>
      <c r="E22" s="51" t="str">
        <f>IF(LEFT(F22,6)="Header","",INDEX('Pricing (Drugs) SS'!$D:$D,MATCH(F22,'Pricing (Drugs) SS'!$A:$A,0)))</f>
        <v>0143-9875-25</v>
      </c>
      <c r="F22" s="119">
        <v>1000060</v>
      </c>
      <c r="G22" s="214" t="str">
        <f>IF(LEFT(F22,6)="Header","",INDEX('Tiered Cart Pricing Formulas'!$N:$N,MATCH(F22,'Tiered Cart Pricing Formulas'!$F:$F,0)))</f>
        <v/>
      </c>
      <c r="H22" s="269"/>
      <c r="I22" s="270"/>
      <c r="J22" s="214" t="str">
        <f>IF(M22="header","",INDEX('Tiered Cart Pricing Formulas'!$N:$N,MATCH(F22,'Tiered Cart Pricing Formulas'!$F:$F,0)))</f>
        <v/>
      </c>
      <c r="K22" s="268" t="str">
        <f>IF(LEFT(F22,6)="header","",INDEX('Tiered Cart Pricing Formulas'!$M:$M,MATCH(F22,'Tiered Cart Pricing Formulas'!$F:$F,0)))</f>
        <v/>
      </c>
      <c r="L22" s="268" cm="1">
        <f t="array" aca="1" ref="L22" ca="1">CELL("protect",A22)</f>
        <v>0</v>
      </c>
      <c r="M22" s="268" t="str">
        <f t="shared" si="0"/>
        <v>100006</v>
      </c>
      <c r="N22" s="268" t="str">
        <f t="shared" ca="1" si="1"/>
        <v>Good</v>
      </c>
      <c r="O22" s="268" t="str">
        <f>IF(M22="header","",INDEX('Tiered Cart Pricing Formulas'!$O:$O,MATCH(F22,'Tiered Cart Pricing Formulas'!$F:$F,0)))</f>
        <v/>
      </c>
    </row>
    <row r="23" spans="1:15" ht="15" customHeight="1" x14ac:dyDescent="0.25">
      <c r="A23" s="48"/>
      <c r="B23" s="49" t="str">
        <f>INDEX('Pricing (Drugs) SS'!$B:$B,MATCH(F23,'Pricing (Drugs) SS'!$A:$A,0))</f>
        <v>AMIODARONE HYDROCHLORIDE INJECTION 900mg/18mL (50mg/mL) 18mL VIAL</v>
      </c>
      <c r="C23" s="50" t="str">
        <f>IF(LEFT(F23,6)="Header","",INDEX('Pricing (Drugs) SS'!$E:$E,MATCH(F23,'Pricing (Drugs) SS'!$A:$A,0)))</f>
        <v>50mg/mL</v>
      </c>
      <c r="D23" s="49" t="str">
        <f>IF(LEFT(F23,6)="header","",INDEX('Pricing (Drugs) SS'!$F:$F,MATCH(F23,'Pricing (Drugs) SS'!$A:$A,0)))</f>
        <v>18mL</v>
      </c>
      <c r="E23" s="51" t="str">
        <f>IF(LEFT(F23,6)="Header","",INDEX('Pricing (Drugs) SS'!$D:$D,MATCH(F23,'Pricing (Drugs) SS'!$A:$A,0)))</f>
        <v>67457-0153-18</v>
      </c>
      <c r="F23" s="119">
        <v>1011280</v>
      </c>
      <c r="G23" s="214" t="str">
        <f>IF(LEFT(F23,6)="Header","",INDEX('Tiered Cart Pricing Formulas'!$N:$N,MATCH(F23,'Tiered Cart Pricing Formulas'!$F:$F,0)))</f>
        <v/>
      </c>
      <c r="H23" s="269"/>
      <c r="I23" s="270"/>
      <c r="J23" s="214" t="str">
        <f>IF(M23="header","",INDEX('Tiered Cart Pricing Formulas'!$N:$N,MATCH(F23,'Tiered Cart Pricing Formulas'!$F:$F,0)))</f>
        <v/>
      </c>
      <c r="K23" s="268" t="str">
        <f>IF(LEFT(F23,6)="header","",INDEX('Tiered Cart Pricing Formulas'!$M:$M,MATCH(F23,'Tiered Cart Pricing Formulas'!$F:$F,0)))</f>
        <v/>
      </c>
      <c r="L23" s="268" cm="1">
        <f t="array" aca="1" ref="L23" ca="1">CELL("protect",A23)</f>
        <v>0</v>
      </c>
      <c r="M23" s="268" t="str">
        <f t="shared" si="0"/>
        <v>101128</v>
      </c>
      <c r="N23" s="268" t="str">
        <f t="shared" ca="1" si="1"/>
        <v>Good</v>
      </c>
      <c r="O23" s="268" t="str">
        <f>IF(M23="header","",INDEX('Tiered Cart Pricing Formulas'!$O:$O,MATCH(F23,'Tiered Cart Pricing Formulas'!$F:$F,0)))</f>
        <v/>
      </c>
    </row>
    <row r="24" spans="1:15" ht="15" customHeight="1" x14ac:dyDescent="0.25">
      <c r="A24" s="48"/>
      <c r="B24" s="49" t="str">
        <f>INDEX('Pricing (Drugs) SS'!$B:$B,MATCH(F24,'Pricing (Drugs) SS'!$A:$A,0))</f>
        <v>NEXTERONE (AMIODARONE HCI) PREMIXED INJECTION 360mg/200mL (1.8mg/mL) 200mL BAG</v>
      </c>
      <c r="C24" s="50" t="str">
        <f>IF(LEFT(F24,6)="Header","",INDEX('Pricing (Drugs) SS'!$E:$E,MATCH(F24,'Pricing (Drugs) SS'!$A:$A,0)))</f>
        <v>1.8mg/mL</v>
      </c>
      <c r="D24" s="49" t="str">
        <f>IF(LEFT(F24,6)="header","",INDEX('Pricing (Drugs) SS'!$F:$F,MATCH(F24,'Pricing (Drugs) SS'!$A:$A,0)))</f>
        <v>200mL</v>
      </c>
      <c r="E24" s="51" t="str">
        <f>IF(LEFT(F24,6)="Header","",INDEX('Pricing (Drugs) SS'!$D:$D,MATCH(F24,'Pricing (Drugs) SS'!$A:$A,0)))</f>
        <v>43066-360-20</v>
      </c>
      <c r="F24" s="119">
        <v>1013010</v>
      </c>
      <c r="G24" s="214" t="str">
        <f>IF(LEFT(F24,6)="Header","",INDEX('Tiered Cart Pricing Formulas'!$N:$N,MATCH(F24,'Tiered Cart Pricing Formulas'!$F:$F,0)))</f>
        <v/>
      </c>
      <c r="H24" s="269"/>
      <c r="I24" s="270"/>
      <c r="J24" s="214" t="str">
        <f>IF(M24="header","",INDEX('Tiered Cart Pricing Formulas'!$N:$N,MATCH(F24,'Tiered Cart Pricing Formulas'!$F:$F,0)))</f>
        <v/>
      </c>
      <c r="K24" s="268" t="str">
        <f>IF(LEFT(F24,6)="header","",INDEX('Tiered Cart Pricing Formulas'!$M:$M,MATCH(F24,'Tiered Cart Pricing Formulas'!$F:$F,0)))</f>
        <v/>
      </c>
      <c r="L24" s="268" cm="1">
        <f t="array" aca="1" ref="L24" ca="1">CELL("protect",A24)</f>
        <v>0</v>
      </c>
      <c r="M24" s="268" t="str">
        <f t="shared" si="0"/>
        <v>101301</v>
      </c>
      <c r="N24" s="268" t="str">
        <f t="shared" ca="1" si="1"/>
        <v>Good</v>
      </c>
      <c r="O24" s="268" t="str">
        <f>IF(M24="header","",INDEX('Tiered Cart Pricing Formulas'!$O:$O,MATCH(F24,'Tiered Cart Pricing Formulas'!$F:$F,0)))</f>
        <v/>
      </c>
    </row>
    <row r="25" spans="1:15" ht="15" customHeight="1" x14ac:dyDescent="0.25">
      <c r="A25" s="118"/>
      <c r="B25" s="49" t="str">
        <f>INDEX('Pricing (Drugs) SS'!$B:$B,MATCH(F25,'Pricing (Drugs) SS'!$A:$A,0))</f>
        <v>ASPIRIN</v>
      </c>
      <c r="C25" s="50" t="str">
        <f>IF(LEFT(F25,6)="Header","",INDEX('Pricing (Drugs) SS'!$E:$E,MATCH(F25,'Pricing (Drugs) SS'!$A:$A,0)))</f>
        <v/>
      </c>
      <c r="D25" s="49" t="str">
        <f>IF(LEFT(F25,6)="header","",INDEX('Pricing (Drugs) SS'!$F:$F,MATCH(F25,'Pricing (Drugs) SS'!$A:$A,0)))</f>
        <v/>
      </c>
      <c r="E25" s="51" t="str">
        <f>IF(LEFT(F25,6)="Header","",INDEX('Pricing (Drugs) SS'!$D:$D,MATCH(F25,'Pricing (Drugs) SS'!$A:$A,0)))</f>
        <v/>
      </c>
      <c r="F25" s="119" t="s">
        <v>1542</v>
      </c>
      <c r="G25" s="214" t="str">
        <f>IF(LEFT(F25,6)="Header","",INDEX('Tiered Cart Pricing Formulas'!$N:$N,MATCH(F25,'Tiered Cart Pricing Formulas'!$F:$F,0)))</f>
        <v/>
      </c>
      <c r="H25" s="51"/>
      <c r="I25" s="272"/>
      <c r="J25" s="214" t="str">
        <f>IF(M25="header","",INDEX('Tiered Cart Pricing Formulas'!$N:$N,MATCH(F25,'Tiered Cart Pricing Formulas'!$F:$F,0)))</f>
        <v/>
      </c>
      <c r="K25" s="268" t="str">
        <f>IF(LEFT(F25,6)="header","",INDEX('Tiered Cart Pricing Formulas'!$M:$M,MATCH(F25,'Tiered Cart Pricing Formulas'!$F:$F,0)))</f>
        <v/>
      </c>
      <c r="L25" s="268" cm="1">
        <f t="array" aca="1" ref="L25" ca="1">CELL("protect",A25)</f>
        <v>1</v>
      </c>
      <c r="M25" s="268" t="str">
        <f t="shared" si="0"/>
        <v>HEADER</v>
      </c>
      <c r="N25" s="268" t="str">
        <f t="shared" ca="1" si="1"/>
        <v>Good</v>
      </c>
      <c r="O25" s="268" t="str">
        <f>IF(M25="header","",INDEX('Tiered Cart Pricing Formulas'!$O:$O,MATCH(F25,'Tiered Cart Pricing Formulas'!$F:$F,0)))</f>
        <v/>
      </c>
    </row>
    <row r="26" spans="1:15" ht="15" customHeight="1" x14ac:dyDescent="0.25">
      <c r="A26" s="48"/>
      <c r="B26" s="49" t="str">
        <f>INDEX('Pricing (Drugs) SS'!$B:$B,MATCH(F26,'Pricing (Drugs) SS'!$A:$A,0))</f>
        <v>ASPIRIN (NSAID) 325mg 2 TABLET (2 PACKS)</v>
      </c>
      <c r="C26" s="50" t="str">
        <f>IF(LEFT(F26,6)="Header","",INDEX('Pricing (Drugs) SS'!$E:$E,MATCH(F26,'Pricing (Drugs) SS'!$A:$A,0)))</f>
        <v>325mg</v>
      </c>
      <c r="D26" s="49" t="str">
        <f>IF(LEFT(F26,6)="header","",INDEX('Pricing (Drugs) SS'!$F:$F,MATCH(F26,'Pricing (Drugs) SS'!$A:$A,0)))</f>
        <v>2 tablets</v>
      </c>
      <c r="E26" s="51" t="str">
        <f>IF(LEFT(F26,6)="Header","",INDEX('Pricing (Drugs) SS'!$D:$D,MATCH(F26,'Pricing (Drugs) SS'!$A:$A,0)))</f>
        <v>0924-0104-01</v>
      </c>
      <c r="F26" s="119">
        <v>1017600</v>
      </c>
      <c r="G26" s="214" t="str">
        <f>IF(LEFT(F26,6)="Header","",INDEX('Tiered Cart Pricing Formulas'!$N:$N,MATCH(F26,'Tiered Cart Pricing Formulas'!$F:$F,0)))</f>
        <v/>
      </c>
      <c r="H26" s="269"/>
      <c r="I26" s="270"/>
      <c r="J26" s="214" t="str">
        <f>IF(M26="header","",INDEX('Tiered Cart Pricing Formulas'!$N:$N,MATCH(F26,'Tiered Cart Pricing Formulas'!$F:$F,0)))</f>
        <v/>
      </c>
      <c r="K26" s="268" t="str">
        <f>IF(LEFT(F26,6)="header","",INDEX('Tiered Cart Pricing Formulas'!$M:$M,MATCH(F26,'Tiered Cart Pricing Formulas'!$F:$F,0)))</f>
        <v/>
      </c>
      <c r="L26" s="268" cm="1">
        <f t="array" aca="1" ref="L26" ca="1">CELL("protect",A26)</f>
        <v>0</v>
      </c>
      <c r="M26" s="268" t="str">
        <f t="shared" si="0"/>
        <v>101760</v>
      </c>
      <c r="N26" s="268" t="str">
        <f t="shared" ca="1" si="1"/>
        <v>Good</v>
      </c>
      <c r="O26" s="268" t="str">
        <f>IF(M26="header","",INDEX('Tiered Cart Pricing Formulas'!$O:$O,MATCH(F26,'Tiered Cart Pricing Formulas'!$F:$F,0)))</f>
        <v/>
      </c>
    </row>
    <row r="27" spans="1:15" ht="15" customHeight="1" x14ac:dyDescent="0.25">
      <c r="A27" s="48"/>
      <c r="B27" s="49" t="str">
        <f>INDEX('Pricing (Drugs) SS'!$B:$B,MATCH(F27,'Pricing (Drugs) SS'!$A:$A,0))</f>
        <v>ASPIRIN LOW DOSE CHEWABLE ORANGE PAIN RELIEVER (NSAID) 81mg 90/bt</v>
      </c>
      <c r="C27" s="50" t="str">
        <f>IF(LEFT(F27,6)="Header","",INDEX('Pricing (Drugs) SS'!$E:$E,MATCH(F27,'Pricing (Drugs) SS'!$A:$A,0)))</f>
        <v>81mg</v>
      </c>
      <c r="D27" s="49" t="str">
        <f>IF(LEFT(F27,6)="header","",INDEX('Pricing (Drugs) SS'!$F:$F,MATCH(F27,'Pricing (Drugs) SS'!$A:$A,0)))</f>
        <v>TAB</v>
      </c>
      <c r="E27" s="51" t="str">
        <f>IF(LEFT(F27,6)="Header","",INDEX('Pricing (Drugs) SS'!$D:$D,MATCH(F27,'Pricing (Drugs) SS'!$A:$A,0)))</f>
        <v>0904-6794-89</v>
      </c>
      <c r="F27" s="119">
        <v>1010220</v>
      </c>
      <c r="G27" s="214" t="str">
        <f>IF(LEFT(F27,6)="Header","",INDEX('Tiered Cart Pricing Formulas'!$N:$N,MATCH(F27,'Tiered Cart Pricing Formulas'!$F:$F,0)))</f>
        <v/>
      </c>
      <c r="H27" s="269"/>
      <c r="I27" s="270"/>
      <c r="J27" s="214" t="str">
        <f>IF(M27="header","",INDEX('Tiered Cart Pricing Formulas'!$N:$N,MATCH(F27,'Tiered Cart Pricing Formulas'!$F:$F,0)))</f>
        <v/>
      </c>
      <c r="K27" s="268" t="str">
        <f>IF(LEFT(F27,6)="header","",INDEX('Tiered Cart Pricing Formulas'!$M:$M,MATCH(F27,'Tiered Cart Pricing Formulas'!$F:$F,0)))</f>
        <v/>
      </c>
      <c r="L27" s="268" cm="1">
        <f t="array" aca="1" ref="L27" ca="1">CELL("protect",A27)</f>
        <v>0</v>
      </c>
      <c r="M27" s="268" t="str">
        <f t="shared" si="0"/>
        <v>101022</v>
      </c>
      <c r="N27" s="268" t="str">
        <f t="shared" ca="1" si="1"/>
        <v>Good</v>
      </c>
      <c r="O27" s="268" t="str">
        <f>IF(M27="header","",INDEX('Tiered Cart Pricing Formulas'!$O:$O,MATCH(F27,'Tiered Cart Pricing Formulas'!$F:$F,0)))</f>
        <v/>
      </c>
    </row>
    <row r="28" spans="1:15" ht="15" customHeight="1" x14ac:dyDescent="0.25">
      <c r="A28" s="48"/>
      <c r="B28" s="49" t="str">
        <f>INDEX('Pricing (Drugs) SS'!$B:$B,MATCH(F28,'Pricing (Drugs) SS'!$A:$A,0))</f>
        <v>ASPIRIN (NSAID) 325mg EACH 100 TABLETS</v>
      </c>
      <c r="C28" s="50" t="str">
        <f>IF(LEFT(F28,6)="Header","",INDEX('Pricing (Drugs) SS'!$E:$E,MATCH(F28,'Pricing (Drugs) SS'!$A:$A,0)))</f>
        <v>325 mg</v>
      </c>
      <c r="D28" s="49" t="str">
        <f>IF(LEFT(F28,6)="header","",INDEX('Pricing (Drugs) SS'!$F:$F,MATCH(F28,'Pricing (Drugs) SS'!$A:$A,0)))</f>
        <v>100 TABLETS</v>
      </c>
      <c r="E28" s="51" t="str">
        <f>IF(LEFT(F28,6)="Header","",INDEX('Pricing (Drugs) SS'!$D:$D,MATCH(F28,'Pricing (Drugs) SS'!$A:$A,0)))</f>
        <v>0536-1054-29</v>
      </c>
      <c r="F28" s="119">
        <v>1013230</v>
      </c>
      <c r="G28" s="214" t="str">
        <f>IF(LEFT(F28,6)="Header","",INDEX('Tiered Cart Pricing Formulas'!$N:$N,MATCH(F28,'Tiered Cart Pricing Formulas'!$F:$F,0)))</f>
        <v/>
      </c>
      <c r="H28" s="269"/>
      <c r="I28" s="270"/>
      <c r="J28" s="214" t="str">
        <f>IF(M28="header","",INDEX('Tiered Cart Pricing Formulas'!$N:$N,MATCH(F28,'Tiered Cart Pricing Formulas'!$F:$F,0)))</f>
        <v/>
      </c>
      <c r="K28" s="268" t="str">
        <f>IF(LEFT(F28,6)="header","",INDEX('Tiered Cart Pricing Formulas'!$M:$M,MATCH(F28,'Tiered Cart Pricing Formulas'!$F:$F,0)))</f>
        <v/>
      </c>
      <c r="L28" s="268" cm="1">
        <f t="array" aca="1" ref="L28" ca="1">CELL("protect",A28)</f>
        <v>0</v>
      </c>
      <c r="M28" s="268" t="str">
        <f t="shared" si="0"/>
        <v>101323</v>
      </c>
      <c r="N28" s="268" t="str">
        <f t="shared" ca="1" si="1"/>
        <v>Good</v>
      </c>
      <c r="O28" s="268" t="str">
        <f>IF(M28="header","",INDEX('Tiered Cart Pricing Formulas'!$O:$O,MATCH(F28,'Tiered Cart Pricing Formulas'!$F:$F,0)))</f>
        <v/>
      </c>
    </row>
    <row r="29" spans="1:15" s="264" customFormat="1" ht="15" customHeight="1" x14ac:dyDescent="0.25">
      <c r="A29" s="118"/>
      <c r="B29" s="49" t="str">
        <f>INDEX('Pricing (Drugs) SS'!$B:$B,MATCH(F29,'Pricing (Drugs) SS'!$A:$A,0))</f>
        <v>ATROPINE</v>
      </c>
      <c r="C29" s="50" t="str">
        <f>IF(LEFT(F29,6)="Header","",INDEX('Pricing (Drugs) SS'!$E:$E,MATCH(F29,'Pricing (Drugs) SS'!$A:$A,0)))</f>
        <v/>
      </c>
      <c r="D29" s="49" t="str">
        <f>IF(LEFT(F29,6)="header","",INDEX('Pricing (Drugs) SS'!$F:$F,MATCH(F29,'Pricing (Drugs) SS'!$A:$A,0)))</f>
        <v/>
      </c>
      <c r="E29" s="51" t="str">
        <f>IF(LEFT(F29,6)="Header","",INDEX('Pricing (Drugs) SS'!$D:$D,MATCH(F29,'Pricing (Drugs) SS'!$A:$A,0)))</f>
        <v/>
      </c>
      <c r="F29" s="119" t="s">
        <v>1543</v>
      </c>
      <c r="G29" s="214" t="str">
        <f>IF(LEFT(F29,6)="Header","",INDEX('Tiered Cart Pricing Formulas'!$N:$N,MATCH(F29,'Tiered Cart Pricing Formulas'!$F:$F,0)))</f>
        <v/>
      </c>
      <c r="H29" s="51"/>
      <c r="I29" s="272"/>
      <c r="J29" s="214" t="str">
        <f>IF(M29="header","",INDEX('Tiered Cart Pricing Formulas'!$N:$N,MATCH(F29,'Tiered Cart Pricing Formulas'!$F:$F,0)))</f>
        <v/>
      </c>
      <c r="K29" s="268" t="str">
        <f>IF(LEFT(F29,6)="header","",INDEX('Tiered Cart Pricing Formulas'!$M:$M,MATCH(F29,'Tiered Cart Pricing Formulas'!$F:$F,0)))</f>
        <v/>
      </c>
      <c r="L29" s="268" cm="1">
        <f t="array" aca="1" ref="L29" ca="1">CELL("protect",A29)</f>
        <v>1</v>
      </c>
      <c r="M29" s="268" t="str">
        <f t="shared" si="0"/>
        <v>HEADER</v>
      </c>
      <c r="N29" s="268" t="str">
        <f t="shared" ca="1" si="1"/>
        <v>Good</v>
      </c>
      <c r="O29" s="268" t="str">
        <f>IF(M29="header","",INDEX('Tiered Cart Pricing Formulas'!$O:$O,MATCH(F29,'Tiered Cart Pricing Formulas'!$F:$F,0)))</f>
        <v/>
      </c>
    </row>
    <row r="30" spans="1:15" ht="15" customHeight="1" x14ac:dyDescent="0.25">
      <c r="A30" s="48"/>
      <c r="B30" s="49" t="str">
        <f>INDEX('Pricing (Drugs) SS'!$B:$B,MATCH(F30,'Pricing (Drugs) SS'!$A:$A,0))</f>
        <v>ATROPINE SULFATE INJECTION, USP 0.4mg/mL 1mL VIAL</v>
      </c>
      <c r="C30" s="50" t="str">
        <f>IF(LEFT(F30,6)="Header","",INDEX('Pricing (Drugs) SS'!$E:$E,MATCH(F30,'Pricing (Drugs) SS'!$A:$A,0)))</f>
        <v>0.4mg/mL</v>
      </c>
      <c r="D30" s="49" t="str">
        <f>IF(LEFT(F30,6)="header","",INDEX('Pricing (Drugs) SS'!$F:$F,MATCH(F30,'Pricing (Drugs) SS'!$A:$A,0)))</f>
        <v>1mL</v>
      </c>
      <c r="E30" s="51" t="str">
        <f>IF(LEFT(F30,6)="Header","",INDEX('Pricing (Drugs) SS'!$D:$D,MATCH(F30,'Pricing (Drugs) SS'!$A:$A,0)))</f>
        <v>0517-1004-25</v>
      </c>
      <c r="F30" s="119">
        <v>1019410</v>
      </c>
      <c r="G30" s="214" t="str">
        <f>IF(LEFT(F30,6)="Header","",INDEX('Tiered Cart Pricing Formulas'!$N:$N,MATCH(F30,'Tiered Cart Pricing Formulas'!$F:$F,0)))</f>
        <v/>
      </c>
      <c r="H30" s="269"/>
      <c r="I30" s="270"/>
      <c r="J30" s="214" t="str">
        <f>IF(M30="header","",INDEX('Tiered Cart Pricing Formulas'!$N:$N,MATCH(F30,'Tiered Cart Pricing Formulas'!$F:$F,0)))</f>
        <v/>
      </c>
      <c r="K30" s="268" t="str">
        <f>IF(LEFT(F30,6)="header","",INDEX('Tiered Cart Pricing Formulas'!$M:$M,MATCH(F30,'Tiered Cart Pricing Formulas'!$F:$F,0)))</f>
        <v/>
      </c>
      <c r="L30" s="268" cm="1">
        <f t="array" aca="1" ref="L30" ca="1">CELL("protect",A30)</f>
        <v>0</v>
      </c>
      <c r="M30" s="268" t="str">
        <f t="shared" si="0"/>
        <v>101941</v>
      </c>
      <c r="N30" s="268" t="str">
        <f t="shared" ca="1" si="1"/>
        <v>Good</v>
      </c>
      <c r="O30" s="268" t="str">
        <f>IF(M30="header","",INDEX('Tiered Cart Pricing Formulas'!$O:$O,MATCH(F30,'Tiered Cart Pricing Formulas'!$F:$F,0)))</f>
        <v/>
      </c>
    </row>
    <row r="31" spans="1:15" ht="15" customHeight="1" x14ac:dyDescent="0.25">
      <c r="A31" s="48"/>
      <c r="B31" s="49" t="str">
        <f>INDEX('Pricing (Drugs) SS'!$B:$B,MATCH(F31,'Pricing (Drugs) SS'!$A:$A,0))</f>
        <v>ATROPINE SULFATE INJECTION, USP 1mg/mL 1mL VIAL</v>
      </c>
      <c r="C31" s="50" t="str">
        <f>IF(LEFT(F31,6)="Header","",INDEX('Pricing (Drugs) SS'!$E:$E,MATCH(F31,'Pricing (Drugs) SS'!$A:$A,0)))</f>
        <v>1mg/mL</v>
      </c>
      <c r="D31" s="49" t="str">
        <f>IF(LEFT(F31,6)="header","",INDEX('Pricing (Drugs) SS'!$F:$F,MATCH(F31,'Pricing (Drugs) SS'!$A:$A,0)))</f>
        <v>1mL</v>
      </c>
      <c r="E31" s="51" t="str">
        <f>IF(LEFT(F31,6)="Header","",INDEX('Pricing (Drugs) SS'!$D:$D,MATCH(F31,'Pricing (Drugs) SS'!$A:$A,0)))</f>
        <v>0517-1001-25</v>
      </c>
      <c r="F31" s="119">
        <v>1019400</v>
      </c>
      <c r="G31" s="214" t="str">
        <f>IF(LEFT(F31,6)="Header","",INDEX('Tiered Cart Pricing Formulas'!$N:$N,MATCH(F31,'Tiered Cart Pricing Formulas'!$F:$F,0)))</f>
        <v/>
      </c>
      <c r="H31" s="269"/>
      <c r="I31" s="270"/>
      <c r="J31" s="214" t="str">
        <f>IF(M31="header","",INDEX('Tiered Cart Pricing Formulas'!$N:$N,MATCH(F31,'Tiered Cart Pricing Formulas'!$F:$F,0)))</f>
        <v/>
      </c>
      <c r="K31" s="268" t="str">
        <f>IF(LEFT(F31,6)="header","",INDEX('Tiered Cart Pricing Formulas'!$M:$M,MATCH(F31,'Tiered Cart Pricing Formulas'!$F:$F,0)))</f>
        <v/>
      </c>
      <c r="L31" s="268" cm="1">
        <f t="array" aca="1" ref="L31" ca="1">CELL("protect",A31)</f>
        <v>0</v>
      </c>
      <c r="M31" s="268" t="str">
        <f t="shared" si="0"/>
        <v>101940</v>
      </c>
      <c r="N31" s="268" t="str">
        <f t="shared" ca="1" si="1"/>
        <v>Good</v>
      </c>
      <c r="O31" s="268" t="str">
        <f>IF(M31="header","",INDEX('Tiered Cart Pricing Formulas'!$O:$O,MATCH(F31,'Tiered Cart Pricing Formulas'!$F:$F,0)))</f>
        <v/>
      </c>
    </row>
    <row r="32" spans="1:15" ht="15" customHeight="1" x14ac:dyDescent="0.25">
      <c r="A32" s="48"/>
      <c r="B32" s="49" t="str">
        <f>INDEX('Pricing (Drugs) SS'!$B:$B,MATCH(F32,'Pricing (Drugs) SS'!$A:$A,0))</f>
        <v>ATROPINE SULFATE INJECTION, USP 8mg/20mL (0.4mg/mL) 20mL VIAL</v>
      </c>
      <c r="C32" s="50" t="str">
        <f>IF(LEFT(F32,6)="Header","",INDEX('Pricing (Drugs) SS'!$E:$E,MATCH(F32,'Pricing (Drugs) SS'!$A:$A,0)))</f>
        <v>0.4 mg/mL</v>
      </c>
      <c r="D32" s="49" t="str">
        <f>IF(LEFT(F32,6)="header","",INDEX('Pricing (Drugs) SS'!$F:$F,MATCH(F32,'Pricing (Drugs) SS'!$A:$A,0)))</f>
        <v>20mL</v>
      </c>
      <c r="E32" s="51" t="str">
        <f>IF(LEFT(F32,6)="Header","",INDEX('Pricing (Drugs) SS'!$D:$D,MATCH(F32,'Pricing (Drugs) SS'!$A:$A,0)))</f>
        <v>0641-6251-10</v>
      </c>
      <c r="F32" s="119">
        <v>1019420</v>
      </c>
      <c r="G32" s="214" t="str">
        <f>IF(LEFT(F32,6)="Header","",INDEX('Tiered Cart Pricing Formulas'!$N:$N,MATCH(F32,'Tiered Cart Pricing Formulas'!$F:$F,0)))</f>
        <v/>
      </c>
      <c r="H32" s="269"/>
      <c r="I32" s="270"/>
      <c r="J32" s="214" t="str">
        <f>IF(M32="header","",INDEX('Tiered Cart Pricing Formulas'!$N:$N,MATCH(F32,'Tiered Cart Pricing Formulas'!$F:$F,0)))</f>
        <v/>
      </c>
      <c r="K32" s="268" t="str">
        <f>IF(LEFT(F32,6)="header","",INDEX('Tiered Cart Pricing Formulas'!$M:$M,MATCH(F32,'Tiered Cart Pricing Formulas'!$F:$F,0)))</f>
        <v/>
      </c>
      <c r="L32" s="268" cm="1">
        <f t="array" aca="1" ref="L32" ca="1">CELL("protect",A32)</f>
        <v>0</v>
      </c>
      <c r="M32" s="268" t="str">
        <f t="shared" si="0"/>
        <v>101942</v>
      </c>
      <c r="N32" s="268" t="str">
        <f t="shared" ca="1" si="1"/>
        <v>Good</v>
      </c>
      <c r="O32" s="268" t="str">
        <f>IF(M32="header","",INDEX('Tiered Cart Pricing Formulas'!$O:$O,MATCH(F32,'Tiered Cart Pricing Formulas'!$F:$F,0)))</f>
        <v/>
      </c>
    </row>
    <row r="33" spans="1:15" ht="15" customHeight="1" x14ac:dyDescent="0.25">
      <c r="A33" s="48"/>
      <c r="B33" s="49" t="str">
        <f>INDEX('Pricing (Drugs) SS'!$B:$B,MATCH(F33,'Pricing (Drugs) SS'!$A:$A,0))</f>
        <v>ATROPINE SULFATE INJECTION, USP 1mg/10mL (0.1mg/mL) 10mL SYR</v>
      </c>
      <c r="C33" s="50" t="str">
        <f>IF(LEFT(F33,6)="Header","",INDEX('Pricing (Drugs) SS'!$E:$E,MATCH(F33,'Pricing (Drugs) SS'!$A:$A,0)))</f>
        <v>0.1mg/mL</v>
      </c>
      <c r="D33" s="49" t="str">
        <f>IF(LEFT(F33,6)="header","",INDEX('Pricing (Drugs) SS'!$F:$F,MATCH(F33,'Pricing (Drugs) SS'!$A:$A,0)))</f>
        <v>10mL</v>
      </c>
      <c r="E33" s="51" t="str">
        <f>IF(LEFT(F33,6)="Header","",INDEX('Pricing (Drugs) SS'!$D:$D,MATCH(F33,'Pricing (Drugs) SS'!$A:$A,0)))</f>
        <v>76329-3340-1</v>
      </c>
      <c r="F33" s="119">
        <v>1015780</v>
      </c>
      <c r="G33" s="214" t="str">
        <f>IF(LEFT(F33,6)="Header","",INDEX('Tiered Cart Pricing Formulas'!$N:$N,MATCH(F33,'Tiered Cart Pricing Formulas'!$F:$F,0)))</f>
        <v/>
      </c>
      <c r="H33" s="269"/>
      <c r="I33" s="270"/>
      <c r="J33" s="214" t="str">
        <f>IF(M33="header","",INDEX('Tiered Cart Pricing Formulas'!$N:$N,MATCH(F33,'Tiered Cart Pricing Formulas'!$F:$F,0)))</f>
        <v/>
      </c>
      <c r="K33" s="268" t="str">
        <f>IF(LEFT(F33,6)="header","",INDEX('Tiered Cart Pricing Formulas'!$M:$M,MATCH(F33,'Tiered Cart Pricing Formulas'!$F:$F,0)))</f>
        <v/>
      </c>
      <c r="L33" s="268" cm="1">
        <f t="array" aca="1" ref="L33" ca="1">CELL("protect",A33)</f>
        <v>0</v>
      </c>
      <c r="M33" s="268" t="str">
        <f t="shared" si="0"/>
        <v>101578</v>
      </c>
      <c r="N33" s="268" t="str">
        <f t="shared" ca="1" si="1"/>
        <v>Good</v>
      </c>
      <c r="O33" s="268" t="str">
        <f>IF(M33="header","",INDEX('Tiered Cart Pricing Formulas'!$O:$O,MATCH(F33,'Tiered Cart Pricing Formulas'!$F:$F,0)))</f>
        <v/>
      </c>
    </row>
    <row r="34" spans="1:15" ht="15" customHeight="1" x14ac:dyDescent="0.25">
      <c r="A34" s="118"/>
      <c r="B34" s="49" t="str">
        <f>INDEX('Pricing (Drugs) SS'!$B:$B,MATCH(F34,'Pricing (Drugs) SS'!$A:$A,0))</f>
        <v>BUPIVACAINE/MARCAINE/SENSORCAINE</v>
      </c>
      <c r="C34" s="50" t="str">
        <f>IF(LEFT(F34,6)="Header","",INDEX('Pricing (Drugs) SS'!$E:$E,MATCH(F34,'Pricing (Drugs) SS'!$A:$A,0)))</f>
        <v/>
      </c>
      <c r="D34" s="49" t="str">
        <f>IF(LEFT(F34,6)="header","",INDEX('Pricing (Drugs) SS'!$F:$F,MATCH(F34,'Pricing (Drugs) SS'!$A:$A,0)))</f>
        <v/>
      </c>
      <c r="E34" s="51" t="str">
        <f>IF(LEFT(F34,6)="Header","",INDEX('Pricing (Drugs) SS'!$D:$D,MATCH(F34,'Pricing (Drugs) SS'!$A:$A,0)))</f>
        <v/>
      </c>
      <c r="F34" s="119" t="s">
        <v>1544</v>
      </c>
      <c r="G34" s="214" t="str">
        <f>IF(LEFT(F34,6)="Header","",INDEX('Tiered Cart Pricing Formulas'!$N:$N,MATCH(F34,'Tiered Cart Pricing Formulas'!$F:$F,0)))</f>
        <v/>
      </c>
      <c r="H34" s="51"/>
      <c r="I34" s="272"/>
      <c r="J34" s="214" t="str">
        <f>IF(M34="header","",INDEX('Tiered Cart Pricing Formulas'!$N:$N,MATCH(F34,'Tiered Cart Pricing Formulas'!$F:$F,0)))</f>
        <v/>
      </c>
      <c r="K34" s="268" t="str">
        <f>IF(LEFT(F34,6)="header","",INDEX('Tiered Cart Pricing Formulas'!$M:$M,MATCH(F34,'Tiered Cart Pricing Formulas'!$F:$F,0)))</f>
        <v/>
      </c>
      <c r="L34" s="268" cm="1">
        <f t="array" aca="1" ref="L34" ca="1">CELL("protect",A34)</f>
        <v>1</v>
      </c>
      <c r="M34" s="268" t="str">
        <f t="shared" si="0"/>
        <v>HEADER</v>
      </c>
      <c r="N34" s="268" t="str">
        <f t="shared" ca="1" si="1"/>
        <v>Good</v>
      </c>
      <c r="O34" s="268" t="str">
        <f>IF(M34="header","",INDEX('Tiered Cart Pricing Formulas'!$O:$O,MATCH(F34,'Tiered Cart Pricing Formulas'!$F:$F,0)))</f>
        <v/>
      </c>
    </row>
    <row r="35" spans="1:15" s="265" customFormat="1" ht="15" customHeight="1" x14ac:dyDescent="0.25">
      <c r="A35" s="48"/>
      <c r="B35" s="49" t="str">
        <f>INDEX('Pricing (Drugs) SS'!$B:$B,MATCH(F35,'Pricing (Drugs) SS'!$A:$A,0))</f>
        <v>SENSORCAINE(R) (BUPIVACAINE HCI AND EPINEPHRINE INJECTION, USP) WITH EPINEPHRINE 1:200,000 (AS BITARTRATE) 0.25% 125mg per 50mL (2.5mg per mL) 50mL VIAL</v>
      </c>
      <c r="C35" s="50" t="str">
        <f>IF(LEFT(F35,6)="Header","",INDEX('Pricing (Drugs) SS'!$E:$E,MATCH(F35,'Pricing (Drugs) SS'!$A:$A,0)))</f>
        <v>2.5mg/mL</v>
      </c>
      <c r="D35" s="49" t="str">
        <f>IF(LEFT(F35,6)="header","",INDEX('Pricing (Drugs) SS'!$F:$F,MATCH(F35,'Pricing (Drugs) SS'!$A:$A,0)))</f>
        <v>50mL</v>
      </c>
      <c r="E35" s="51" t="str">
        <f>IF(LEFT(F35,6)="Header","",INDEX('Pricing (Drugs) SS'!$D:$D,MATCH(F35,'Pricing (Drugs) SS'!$A:$A,0)))</f>
        <v>63323-461-57</v>
      </c>
      <c r="F35" s="119">
        <v>1012080</v>
      </c>
      <c r="G35" s="214" t="str">
        <f>IF(LEFT(F35,6)="Header","",INDEX('Tiered Cart Pricing Formulas'!$N:$N,MATCH(F35,'Tiered Cart Pricing Formulas'!$F:$F,0)))</f>
        <v/>
      </c>
      <c r="H35" s="269"/>
      <c r="I35" s="270"/>
      <c r="J35" s="214" t="str">
        <f>IF(M35="header","",INDEX('Tiered Cart Pricing Formulas'!$N:$N,MATCH(F35,'Tiered Cart Pricing Formulas'!$F:$F,0)))</f>
        <v/>
      </c>
      <c r="K35" s="268" t="str">
        <f>IF(LEFT(F35,6)="header","",INDEX('Tiered Cart Pricing Formulas'!$M:$M,MATCH(F35,'Tiered Cart Pricing Formulas'!$F:$F,0)))</f>
        <v/>
      </c>
      <c r="L35" s="268" cm="1">
        <f t="array" aca="1" ref="L35" ca="1">CELL("protect",A35)</f>
        <v>0</v>
      </c>
      <c r="M35" s="268" t="str">
        <f t="shared" si="0"/>
        <v>101208</v>
      </c>
      <c r="N35" s="268" t="str">
        <f t="shared" ca="1" si="1"/>
        <v>Good</v>
      </c>
      <c r="O35" s="268" t="str">
        <f>IF(M35="header","",INDEX('Tiered Cart Pricing Formulas'!$O:$O,MATCH(F35,'Tiered Cart Pricing Formulas'!$F:$F,0)))</f>
        <v/>
      </c>
    </row>
    <row r="36" spans="1:15" ht="15" customHeight="1" x14ac:dyDescent="0.25">
      <c r="A36" s="48"/>
      <c r="B36" s="49" t="str">
        <f>INDEX('Pricing (Drugs) SS'!$B:$B,MATCH(F36,'Pricing (Drugs) SS'!$A:$A,0))</f>
        <v>0.5% BUPIVACAINE HYDROCHLORIDE INJECTION, USP (5 mg/mL) 50 mL MDV</v>
      </c>
      <c r="C36" s="50" t="str">
        <f>IF(LEFT(F36,6)="Header","",INDEX('Pricing (Drugs) SS'!$E:$E,MATCH(F36,'Pricing (Drugs) SS'!$A:$A,0)))</f>
        <v>5mg/mL</v>
      </c>
      <c r="D36" s="49" t="str">
        <f>IF(LEFT(F36,6)="header","",INDEX('Pricing (Drugs) SS'!$F:$F,MATCH(F36,'Pricing (Drugs) SS'!$A:$A,0)))</f>
        <v>50 mL</v>
      </c>
      <c r="E36" s="51" t="str">
        <f>IF(LEFT(F36,6)="Header","",INDEX('Pricing (Drugs) SS'!$D:$D,MATCH(F36,'Pricing (Drugs) SS'!$A:$A,0)))</f>
        <v>0409-1163-01</v>
      </c>
      <c r="F36" s="119">
        <v>1011870</v>
      </c>
      <c r="G36" s="214" t="str">
        <f>IF(LEFT(F36,6)="Header","",INDEX('Tiered Cart Pricing Formulas'!$N:$N,MATCH(F36,'Tiered Cart Pricing Formulas'!$F:$F,0)))</f>
        <v/>
      </c>
      <c r="H36" s="269"/>
      <c r="I36" s="270"/>
      <c r="J36" s="214" t="str">
        <f>IF(M36="header","",INDEX('Tiered Cart Pricing Formulas'!$N:$N,MATCH(F36,'Tiered Cart Pricing Formulas'!$F:$F,0)))</f>
        <v/>
      </c>
      <c r="K36" s="268" t="str">
        <f>IF(LEFT(F36,6)="header","",INDEX('Tiered Cart Pricing Formulas'!$M:$M,MATCH(F36,'Tiered Cart Pricing Formulas'!$F:$F,0)))</f>
        <v/>
      </c>
      <c r="L36" s="268" cm="1">
        <f t="array" aca="1" ref="L36" ca="1">CELL("protect",A36)</f>
        <v>0</v>
      </c>
      <c r="M36" s="268" t="str">
        <f t="shared" si="0"/>
        <v>101187</v>
      </c>
      <c r="N36" s="268" t="str">
        <f t="shared" ca="1" si="1"/>
        <v>Good</v>
      </c>
      <c r="O36" s="268" t="str">
        <f>IF(M36="header","",INDEX('Tiered Cart Pricing Formulas'!$O:$O,MATCH(F36,'Tiered Cart Pricing Formulas'!$F:$F,0)))</f>
        <v/>
      </c>
    </row>
    <row r="37" spans="1:15" s="264" customFormat="1" ht="15" customHeight="1" x14ac:dyDescent="0.25">
      <c r="A37" s="48"/>
      <c r="B37" s="49" t="str">
        <f>INDEX('Pricing (Drugs) SS'!$B:$B,MATCH(F37,'Pricing (Drugs) SS'!$A:$A,0))</f>
        <v>SENSORCAINE(R) (BUPIVACAINE HCI AND EPINEPHRINE INJECTION, USP) WITH EPINEPHRINE 1:200,000 (AS BITARTRATE) 0.5% 250mg per 50mL (5mg per mL) 50mL VIAL</v>
      </c>
      <c r="C37" s="50" t="str">
        <f>IF(LEFT(F37,6)="Header","",INDEX('Pricing (Drugs) SS'!$E:$E,MATCH(F37,'Pricing (Drugs) SS'!$A:$A,0)))</f>
        <v>5mg/mL</v>
      </c>
      <c r="D37" s="49" t="str">
        <f>IF(LEFT(F37,6)="header","",INDEX('Pricing (Drugs) SS'!$F:$F,MATCH(F37,'Pricing (Drugs) SS'!$A:$A,0)))</f>
        <v>50mL</v>
      </c>
      <c r="E37" s="51" t="str">
        <f>IF(LEFT(F37,6)="Header","",INDEX('Pricing (Drugs) SS'!$D:$D,MATCH(F37,'Pricing (Drugs) SS'!$A:$A,0)))</f>
        <v>63323-463-57</v>
      </c>
      <c r="F37" s="119">
        <v>1012090</v>
      </c>
      <c r="G37" s="214" t="str">
        <f>IF(LEFT(F37,6)="Header","",INDEX('Tiered Cart Pricing Formulas'!$N:$N,MATCH(F37,'Tiered Cart Pricing Formulas'!$F:$F,0)))</f>
        <v/>
      </c>
      <c r="H37" s="269"/>
      <c r="I37" s="270"/>
      <c r="J37" s="214" t="str">
        <f>IF(M37="header","",INDEX('Tiered Cart Pricing Formulas'!$N:$N,MATCH(F37,'Tiered Cart Pricing Formulas'!$F:$F,0)))</f>
        <v/>
      </c>
      <c r="K37" s="268" t="str">
        <f>IF(LEFT(F37,6)="header","",INDEX('Tiered Cart Pricing Formulas'!$M:$M,MATCH(F37,'Tiered Cart Pricing Formulas'!$F:$F,0)))</f>
        <v/>
      </c>
      <c r="L37" s="268" cm="1">
        <f t="array" aca="1" ref="L37" ca="1">CELL("protect",A37)</f>
        <v>0</v>
      </c>
      <c r="M37" s="268" t="str">
        <f t="shared" si="0"/>
        <v>101209</v>
      </c>
      <c r="N37" s="268" t="str">
        <f t="shared" ca="1" si="1"/>
        <v>Good</v>
      </c>
      <c r="O37" s="268" t="str">
        <f>IF(M37="header","",INDEX('Tiered Cart Pricing Formulas'!$O:$O,MATCH(F37,'Tiered Cart Pricing Formulas'!$F:$F,0)))</f>
        <v/>
      </c>
    </row>
    <row r="38" spans="1:15" ht="15" customHeight="1" x14ac:dyDescent="0.25">
      <c r="A38" s="118"/>
      <c r="B38" s="49" t="str">
        <f>INDEX('Pricing (Drugs) SS'!$B:$B,MATCH(F38,'Pricing (Drugs) SS'!$A:$A,0))</f>
        <v>CALCIUM CHLORIDE</v>
      </c>
      <c r="C38" s="50" t="str">
        <f>IF(LEFT(F38,6)="Header","",INDEX('Pricing (Drugs) SS'!$E:$E,MATCH(F38,'Pricing (Drugs) SS'!$A:$A,0)))</f>
        <v/>
      </c>
      <c r="D38" s="49" t="str">
        <f>IF(LEFT(F38,6)="header","",INDEX('Pricing (Drugs) SS'!$F:$F,MATCH(F38,'Pricing (Drugs) SS'!$A:$A,0)))</f>
        <v/>
      </c>
      <c r="E38" s="51" t="str">
        <f>IF(LEFT(F38,6)="Header","",INDEX('Pricing (Drugs) SS'!$D:$D,MATCH(F38,'Pricing (Drugs) SS'!$A:$A,0)))</f>
        <v/>
      </c>
      <c r="F38" s="119" t="s">
        <v>1545</v>
      </c>
      <c r="G38" s="214" t="str">
        <f>IF(LEFT(F38,6)="Header","",INDEX('Tiered Cart Pricing Formulas'!$N:$N,MATCH(F38,'Tiered Cart Pricing Formulas'!$F:$F,0)))</f>
        <v/>
      </c>
      <c r="H38" s="51"/>
      <c r="I38" s="272"/>
      <c r="J38" s="214" t="str">
        <f>IF(M38="header","",INDEX('Tiered Cart Pricing Formulas'!$N:$N,MATCH(F38,'Tiered Cart Pricing Formulas'!$F:$F,0)))</f>
        <v/>
      </c>
      <c r="K38" s="268" t="str">
        <f>IF(LEFT(F38,6)="header","",INDEX('Tiered Cart Pricing Formulas'!$M:$M,MATCH(F38,'Tiered Cart Pricing Formulas'!$F:$F,0)))</f>
        <v/>
      </c>
      <c r="L38" s="268" cm="1">
        <f t="array" aca="1" ref="L38" ca="1">CELL("protect",A38)</f>
        <v>1</v>
      </c>
      <c r="M38" s="268" t="str">
        <f t="shared" si="0"/>
        <v>HEADER</v>
      </c>
      <c r="N38" s="268" t="str">
        <f t="shared" ca="1" si="1"/>
        <v>Good</v>
      </c>
      <c r="O38" s="268" t="str">
        <f>IF(M38="header","",INDEX('Tiered Cart Pricing Formulas'!$O:$O,MATCH(F38,'Tiered Cart Pricing Formulas'!$F:$F,0)))</f>
        <v/>
      </c>
    </row>
    <row r="39" spans="1:15" s="265" customFormat="1" ht="15" customHeight="1" x14ac:dyDescent="0.25">
      <c r="A39" s="48"/>
      <c r="B39" s="49" t="str">
        <f>INDEX('Pricing (Drugs) SS'!$B:$B,MATCH(F39,'Pricing (Drugs) SS'!$A:$A,0))</f>
        <v>10% CALCIUM CHLORIDE INJECTION, USP 1 g/10 mL (100 mg/ mL) (1.4 mEq/mL) LUER-JET™ SYR</v>
      </c>
      <c r="C39" s="50" t="str">
        <f>IF(LEFT(F39,6)="Header","",INDEX('Pricing (Drugs) SS'!$E:$E,MATCH(F39,'Pricing (Drugs) SS'!$A:$A,0)))</f>
        <v>100 mg/1 mL</v>
      </c>
      <c r="D39" s="49" t="str">
        <f>IF(LEFT(F39,6)="header","",INDEX('Pricing (Drugs) SS'!$F:$F,MATCH(F39,'Pricing (Drugs) SS'!$A:$A,0)))</f>
        <v>10 mL</v>
      </c>
      <c r="E39" s="51" t="str">
        <f>IF(LEFT(F39,6)="Header","",INDEX('Pricing (Drugs) SS'!$D:$D,MATCH(F39,'Pricing (Drugs) SS'!$A:$A,0)))</f>
        <v>76329-3304-1</v>
      </c>
      <c r="F39" s="119">
        <v>1012300</v>
      </c>
      <c r="G39" s="214" t="str">
        <f>IF(LEFT(F39,6)="Header","",INDEX('Tiered Cart Pricing Formulas'!$N:$N,MATCH(F39,'Tiered Cart Pricing Formulas'!$F:$F,0)))</f>
        <v/>
      </c>
      <c r="H39" s="269"/>
      <c r="I39" s="270"/>
      <c r="J39" s="214" t="str">
        <f>IF(M39="header","",INDEX('Tiered Cart Pricing Formulas'!$N:$N,MATCH(F39,'Tiered Cart Pricing Formulas'!$F:$F,0)))</f>
        <v/>
      </c>
      <c r="K39" s="268" t="str">
        <f>IF(LEFT(F39,6)="header","",INDEX('Tiered Cart Pricing Formulas'!$M:$M,MATCH(F39,'Tiered Cart Pricing Formulas'!$F:$F,0)))</f>
        <v/>
      </c>
      <c r="L39" s="268" cm="1">
        <f t="array" aca="1" ref="L39" ca="1">CELL("protect",A39)</f>
        <v>0</v>
      </c>
      <c r="M39" s="268" t="str">
        <f t="shared" si="0"/>
        <v>101230</v>
      </c>
      <c r="N39" s="268" t="str">
        <f t="shared" ca="1" si="1"/>
        <v>Good</v>
      </c>
      <c r="O39" s="268" t="str">
        <f>IF(M39="header","",INDEX('Tiered Cart Pricing Formulas'!$O:$O,MATCH(F39,'Tiered Cart Pricing Formulas'!$F:$F,0)))</f>
        <v/>
      </c>
    </row>
    <row r="40" spans="1:15" ht="15" customHeight="1" x14ac:dyDescent="0.25">
      <c r="A40" s="48"/>
      <c r="B40" s="49" t="str">
        <f>INDEX('Pricing (Drugs) SS'!$B:$B,MATCH(F40,'Pricing (Drugs) SS'!$A:$A,0))</f>
        <v>10% CALCIUM CHLORIDE INJECTION, USP 1000mg/10mL (100mg/mL) SYR</v>
      </c>
      <c r="C40" s="50" t="str">
        <f>IF(LEFT(F40,6)="Header","",INDEX('Pricing (Drugs) SS'!$E:$E,MATCH(F40,'Pricing (Drugs) SS'!$A:$A,0)))</f>
        <v>100mg/mL</v>
      </c>
      <c r="D40" s="49" t="str">
        <f>IF(LEFT(F40,6)="header","",INDEX('Pricing (Drugs) SS'!$F:$F,MATCH(F40,'Pricing (Drugs) SS'!$A:$A,0)))</f>
        <v>10mL</v>
      </c>
      <c r="E40" s="51" t="str">
        <f>IF(LEFT(F40,6)="Header","",INDEX('Pricing (Drugs) SS'!$D:$D,MATCH(F40,'Pricing (Drugs) SS'!$A:$A,0)))</f>
        <v>0409-1631-10</v>
      </c>
      <c r="F40" s="119">
        <v>1012720</v>
      </c>
      <c r="G40" s="214" t="str">
        <f>IF(LEFT(F40,6)="Header","",INDEX('Tiered Cart Pricing Formulas'!$N:$N,MATCH(F40,'Tiered Cart Pricing Formulas'!$F:$F,0)))</f>
        <v/>
      </c>
      <c r="H40" s="269"/>
      <c r="I40" s="270"/>
      <c r="J40" s="214" t="str">
        <f>IF(M40="header","",INDEX('Tiered Cart Pricing Formulas'!$N:$N,MATCH(F40,'Tiered Cart Pricing Formulas'!$F:$F,0)))</f>
        <v/>
      </c>
      <c r="K40" s="268" t="str">
        <f>IF(LEFT(F40,6)="header","",INDEX('Tiered Cart Pricing Formulas'!$M:$M,MATCH(F40,'Tiered Cart Pricing Formulas'!$F:$F,0)))</f>
        <v/>
      </c>
      <c r="L40" s="268" cm="1">
        <f t="array" aca="1" ref="L40" ca="1">CELL("protect",A40)</f>
        <v>0</v>
      </c>
      <c r="M40" s="268" t="str">
        <f t="shared" si="0"/>
        <v>101272</v>
      </c>
      <c r="N40" s="268" t="str">
        <f t="shared" ca="1" si="1"/>
        <v>Good</v>
      </c>
      <c r="O40" s="268" t="str">
        <f>IF(M40="header","",INDEX('Tiered Cart Pricing Formulas'!$O:$O,MATCH(F40,'Tiered Cart Pricing Formulas'!$F:$F,0)))</f>
        <v/>
      </c>
    </row>
    <row r="41" spans="1:15" ht="15" customHeight="1" x14ac:dyDescent="0.25">
      <c r="A41" s="118"/>
      <c r="B41" s="49" t="str">
        <f>INDEX('Pricing (Drugs) SS'!$B:$B,MATCH(F41,'Pricing (Drugs) SS'!$A:$A,0))</f>
        <v>CALCIUM GLUCONATE</v>
      </c>
      <c r="C41" s="50" t="str">
        <f>IF(LEFT(F41,6)="Header","",INDEX('Pricing (Drugs) SS'!$E:$E,MATCH(F41,'Pricing (Drugs) SS'!$A:$A,0)))</f>
        <v/>
      </c>
      <c r="D41" s="49" t="str">
        <f>IF(LEFT(F41,6)="header","",INDEX('Pricing (Drugs) SS'!$F:$F,MATCH(F41,'Pricing (Drugs) SS'!$A:$A,0)))</f>
        <v/>
      </c>
      <c r="E41" s="51" t="str">
        <f>IF(LEFT(F41,6)="Header","",INDEX('Pricing (Drugs) SS'!$D:$D,MATCH(F41,'Pricing (Drugs) SS'!$A:$A,0)))</f>
        <v/>
      </c>
      <c r="F41" s="119" t="s">
        <v>1546</v>
      </c>
      <c r="G41" s="214" t="str">
        <f>IF(LEFT(F41,6)="Header","",INDEX('Tiered Cart Pricing Formulas'!$N:$N,MATCH(F41,'Tiered Cart Pricing Formulas'!$F:$F,0)))</f>
        <v/>
      </c>
      <c r="H41" s="51"/>
      <c r="I41" s="272"/>
      <c r="J41" s="214" t="str">
        <f>IF(M41="header","",INDEX('Tiered Cart Pricing Formulas'!$N:$N,MATCH(F41,'Tiered Cart Pricing Formulas'!$F:$F,0)))</f>
        <v/>
      </c>
      <c r="K41" s="268" t="str">
        <f>IF(LEFT(F41,6)="header","",INDEX('Tiered Cart Pricing Formulas'!$M:$M,MATCH(F41,'Tiered Cart Pricing Formulas'!$F:$F,0)))</f>
        <v/>
      </c>
      <c r="L41" s="268" cm="1">
        <f t="array" aca="1" ref="L41" ca="1">CELL("protect",A41)</f>
        <v>1</v>
      </c>
      <c r="M41" s="268" t="str">
        <f t="shared" si="0"/>
        <v>HEADER</v>
      </c>
      <c r="N41" s="268" t="str">
        <f t="shared" ca="1" si="1"/>
        <v>Good</v>
      </c>
      <c r="O41" s="268" t="str">
        <f>IF(M41="header","",INDEX('Tiered Cart Pricing Formulas'!$O:$O,MATCH(F41,'Tiered Cart Pricing Formulas'!$F:$F,0)))</f>
        <v/>
      </c>
    </row>
    <row r="42" spans="1:15" ht="15" customHeight="1" x14ac:dyDescent="0.25">
      <c r="A42" s="48"/>
      <c r="B42" s="49" t="str">
        <f>INDEX('Pricing (Drugs) SS'!$B:$B,MATCH(F42,'Pricing (Drugs) SS'!$A:$A,0))</f>
        <v>CALCIUM GLUCONATE INJECTION, USP 10% 1,000 mg per 10mL  (100mg/mL) 10mL VIAL</v>
      </c>
      <c r="C42" s="50" t="str">
        <f>IF(LEFT(F42,6)="Header","",INDEX('Pricing (Drugs) SS'!$E:$E,MATCH(F42,'Pricing (Drugs) SS'!$A:$A,0)))</f>
        <v>100mg/mL</v>
      </c>
      <c r="D42" s="49" t="str">
        <f>IF(LEFT(F42,6)="header","",INDEX('Pricing (Drugs) SS'!$F:$F,MATCH(F42,'Pricing (Drugs) SS'!$A:$A,0)))</f>
        <v>10mL</v>
      </c>
      <c r="E42" s="51" t="str">
        <f>IF(LEFT(F42,6)="Header","",INDEX('Pricing (Drugs) SS'!$D:$D,MATCH(F42,'Pricing (Drugs) SS'!$A:$A,0)))</f>
        <v>63323-360-19</v>
      </c>
      <c r="F42" s="119">
        <v>1009700</v>
      </c>
      <c r="G42" s="214" t="str">
        <f>IF(LEFT(F42,6)="Header","",INDEX('Tiered Cart Pricing Formulas'!$N:$N,MATCH(F42,'Tiered Cart Pricing Formulas'!$F:$F,0)))</f>
        <v/>
      </c>
      <c r="H42" s="269"/>
      <c r="I42" s="270"/>
      <c r="J42" s="214" t="str">
        <f>IF(M42="header","",INDEX('Tiered Cart Pricing Formulas'!$N:$N,MATCH(F42,'Tiered Cart Pricing Formulas'!$F:$F,0)))</f>
        <v/>
      </c>
      <c r="K42" s="268" t="str">
        <f>IF(LEFT(F42,6)="header","",INDEX('Tiered Cart Pricing Formulas'!$M:$M,MATCH(F42,'Tiered Cart Pricing Formulas'!$F:$F,0)))</f>
        <v/>
      </c>
      <c r="L42" s="268" cm="1">
        <f t="array" aca="1" ref="L42" ca="1">CELL("protect",A42)</f>
        <v>0</v>
      </c>
      <c r="M42" s="268" t="str">
        <f t="shared" si="0"/>
        <v>100970</v>
      </c>
      <c r="N42" s="268" t="str">
        <f t="shared" ca="1" si="1"/>
        <v>Good</v>
      </c>
      <c r="O42" s="268" t="str">
        <f>IF(M42="header","",INDEX('Tiered Cart Pricing Formulas'!$O:$O,MATCH(F42,'Tiered Cart Pricing Formulas'!$F:$F,0)))</f>
        <v/>
      </c>
    </row>
    <row r="43" spans="1:15" s="266" customFormat="1" ht="15" customHeight="1" x14ac:dyDescent="0.25">
      <c r="A43" s="118"/>
      <c r="B43" s="49" t="str">
        <f>INDEX('Pricing (Drugs) SS'!$B:$B,MATCH(F43,'Pricing (Drugs) SS'!$A:$A,0))</f>
        <v>CHLORAPREP</v>
      </c>
      <c r="C43" s="50" t="str">
        <f>IF(LEFT(F43,6)="Header","",INDEX('Pricing (Drugs) SS'!$E:$E,MATCH(F43,'Pricing (Drugs) SS'!$A:$A,0)))</f>
        <v/>
      </c>
      <c r="D43" s="49" t="str">
        <f>IF(LEFT(F43,6)="header","",INDEX('Pricing (Drugs) SS'!$F:$F,MATCH(F43,'Pricing (Drugs) SS'!$A:$A,0)))</f>
        <v/>
      </c>
      <c r="E43" s="51" t="str">
        <f>IF(LEFT(F43,6)="Header","",INDEX('Pricing (Drugs) SS'!$D:$D,MATCH(F43,'Pricing (Drugs) SS'!$A:$A,0)))</f>
        <v/>
      </c>
      <c r="F43" s="119" t="s">
        <v>1547</v>
      </c>
      <c r="G43" s="214" t="str">
        <f>IF(LEFT(F43,6)="Header","",INDEX('Tiered Cart Pricing Formulas'!$N:$N,MATCH(F43,'Tiered Cart Pricing Formulas'!$F:$F,0)))</f>
        <v/>
      </c>
      <c r="H43" s="51"/>
      <c r="I43" s="272"/>
      <c r="J43" s="214" t="str">
        <f>IF(M43="header","",INDEX('Tiered Cart Pricing Formulas'!$N:$N,MATCH(F43,'Tiered Cart Pricing Formulas'!$F:$F,0)))</f>
        <v/>
      </c>
      <c r="K43" s="268" t="str">
        <f>IF(LEFT(F43,6)="header","",INDEX('Tiered Cart Pricing Formulas'!$M:$M,MATCH(F43,'Tiered Cart Pricing Formulas'!$F:$F,0)))</f>
        <v/>
      </c>
      <c r="L43" s="268" cm="1">
        <f t="array" aca="1" ref="L43" ca="1">CELL("protect",A43)</f>
        <v>1</v>
      </c>
      <c r="M43" s="268" t="str">
        <f t="shared" si="0"/>
        <v>HEADER</v>
      </c>
      <c r="N43" s="268" t="str">
        <f t="shared" ca="1" si="1"/>
        <v>Good</v>
      </c>
      <c r="O43" s="268" t="str">
        <f>IF(M43="header","",INDEX('Tiered Cart Pricing Formulas'!$O:$O,MATCH(F43,'Tiered Cart Pricing Formulas'!$F:$F,0)))</f>
        <v/>
      </c>
    </row>
    <row r="44" spans="1:15" s="266" customFormat="1" ht="15" customHeight="1" x14ac:dyDescent="0.25">
      <c r="A44" s="48"/>
      <c r="B44" s="49" t="str">
        <f>INDEX('Pricing (Drugs) SS'!$B:$B,MATCH(F44,'Pricing (Drugs) SS'!$A:$A,0))</f>
        <v>CHLORAPREP® SINGLE SWABSTICK 1.75mL</v>
      </c>
      <c r="C44" s="50" t="str">
        <f>IF(LEFT(F44,6)="Header","",INDEX('Pricing (Drugs) SS'!$E:$E,MATCH(F44,'Pricing (Drugs) SS'!$A:$A,0)))</f>
        <v>1.75mL</v>
      </c>
      <c r="D44" s="49" t="str">
        <f>IF(LEFT(F44,6)="header","",INDEX('Pricing (Drugs) SS'!$F:$F,MATCH(F44,'Pricing (Drugs) SS'!$A:$A,0)))</f>
        <v>Swabstick</v>
      </c>
      <c r="E44" s="51" t="str">
        <f>IF(LEFT(F44,6)="Header","",INDEX('Pricing (Drugs) SS'!$D:$D,MATCH(F44,'Pricing (Drugs) SS'!$A:$A,0)))</f>
        <v>54365-401-28</v>
      </c>
      <c r="F44" s="119">
        <v>1024650</v>
      </c>
      <c r="G44" s="214" t="str">
        <f>IF(LEFT(F44,6)="Header","",INDEX('Tiered Cart Pricing Formulas'!$N:$N,MATCH(F44,'Tiered Cart Pricing Formulas'!$F:$F,0)))</f>
        <v/>
      </c>
      <c r="H44" s="269"/>
      <c r="I44" s="270"/>
      <c r="J44" s="214" t="str">
        <f>IF(M44="header","",INDEX('Tiered Cart Pricing Formulas'!$N:$N,MATCH(F44,'Tiered Cart Pricing Formulas'!$F:$F,0)))</f>
        <v/>
      </c>
      <c r="K44" s="268" t="str">
        <f>IF(LEFT(F44,6)="header","",INDEX('Tiered Cart Pricing Formulas'!$M:$M,MATCH(F44,'Tiered Cart Pricing Formulas'!$F:$F,0)))</f>
        <v/>
      </c>
      <c r="L44" s="268" cm="1">
        <f t="array" aca="1" ref="L44" ca="1">CELL("protect",A44)</f>
        <v>0</v>
      </c>
      <c r="M44" s="268" t="str">
        <f t="shared" si="0"/>
        <v>102465</v>
      </c>
      <c r="N44" s="268" t="str">
        <f t="shared" ca="1" si="1"/>
        <v>Good</v>
      </c>
      <c r="O44" s="268" t="str">
        <f>IF(M44="header","",INDEX('Tiered Cart Pricing Formulas'!$O:$O,MATCH(F44,'Tiered Cart Pricing Formulas'!$F:$F,0)))</f>
        <v/>
      </c>
    </row>
    <row r="45" spans="1:15" ht="15" customHeight="1" x14ac:dyDescent="0.25">
      <c r="A45" s="118"/>
      <c r="B45" s="49" t="str">
        <f>INDEX('Pricing (Drugs) SS'!$B:$B,MATCH(F45,'Pricing (Drugs) SS'!$A:$A,0))</f>
        <v>DEXAMETHASONE</v>
      </c>
      <c r="C45" s="50" t="str">
        <f>IF(LEFT(F45,6)="Header","",INDEX('Pricing (Drugs) SS'!$E:$E,MATCH(F45,'Pricing (Drugs) SS'!$A:$A,0)))</f>
        <v/>
      </c>
      <c r="D45" s="49" t="str">
        <f>IF(LEFT(F45,6)="header","",INDEX('Pricing (Drugs) SS'!$F:$F,MATCH(F45,'Pricing (Drugs) SS'!$A:$A,0)))</f>
        <v/>
      </c>
      <c r="E45" s="51" t="str">
        <f>IF(LEFT(F45,6)="Header","",INDEX('Pricing (Drugs) SS'!$D:$D,MATCH(F45,'Pricing (Drugs) SS'!$A:$A,0)))</f>
        <v/>
      </c>
      <c r="F45" s="119" t="s">
        <v>1548</v>
      </c>
      <c r="G45" s="214" t="str">
        <f>IF(LEFT(F45,6)="Header","",INDEX('Tiered Cart Pricing Formulas'!$N:$N,MATCH(F45,'Tiered Cart Pricing Formulas'!$F:$F,0)))</f>
        <v/>
      </c>
      <c r="H45" s="51"/>
      <c r="I45" s="272"/>
      <c r="J45" s="214" t="str">
        <f>IF(M45="header","",INDEX('Tiered Cart Pricing Formulas'!$N:$N,MATCH(F45,'Tiered Cart Pricing Formulas'!$F:$F,0)))</f>
        <v/>
      </c>
      <c r="K45" s="268" t="str">
        <f>IF(LEFT(F45,6)="header","",INDEX('Tiered Cart Pricing Formulas'!$M:$M,MATCH(F45,'Tiered Cart Pricing Formulas'!$F:$F,0)))</f>
        <v/>
      </c>
      <c r="L45" s="268" cm="1">
        <f t="array" aca="1" ref="L45" ca="1">CELL("protect",A45)</f>
        <v>1</v>
      </c>
      <c r="M45" s="268" t="str">
        <f t="shared" si="0"/>
        <v>HEADER</v>
      </c>
      <c r="N45" s="268" t="str">
        <f t="shared" ca="1" si="1"/>
        <v>Good</v>
      </c>
      <c r="O45" s="268" t="str">
        <f>IF(M45="header","",INDEX('Tiered Cart Pricing Formulas'!$O:$O,MATCH(F45,'Tiered Cart Pricing Formulas'!$F:$F,0)))</f>
        <v/>
      </c>
    </row>
    <row r="46" spans="1:15" ht="15" customHeight="1" x14ac:dyDescent="0.25">
      <c r="A46" s="48"/>
      <c r="B46" s="49" t="str">
        <f>INDEX('Pricing (Drugs) SS'!$B:$B,MATCH(F46,'Pricing (Drugs) SS'!$A:$A,0))</f>
        <v>DEXAMETHASONE SODIUM PHOSPHATE INJECTION, USP 10mg/mL 1mL VIAL</v>
      </c>
      <c r="C46" s="50" t="str">
        <f>IF(LEFT(F46,6)="Header","",INDEX('Pricing (Drugs) SS'!$E:$E,MATCH(F46,'Pricing (Drugs) SS'!$A:$A,0)))</f>
        <v>10mg/mL</v>
      </c>
      <c r="D46" s="49" t="str">
        <f>IF(LEFT(F46,6)="header","",INDEX('Pricing (Drugs) SS'!$F:$F,MATCH(F46,'Pricing (Drugs) SS'!$A:$A,0)))</f>
        <v>1 mL</v>
      </c>
      <c r="E46" s="51" t="str">
        <f>IF(LEFT(F46,6)="Header","",INDEX('Pricing (Drugs) SS'!$D:$D,MATCH(F46,'Pricing (Drugs) SS'!$A:$A,0)))</f>
        <v>0641-0367-25</v>
      </c>
      <c r="F46" s="119">
        <v>1010160</v>
      </c>
      <c r="G46" s="214" t="str">
        <f>IF(LEFT(F46,6)="Header","",INDEX('Tiered Cart Pricing Formulas'!$N:$N,MATCH(F46,'Tiered Cart Pricing Formulas'!$F:$F,0)))</f>
        <v/>
      </c>
      <c r="H46" s="269"/>
      <c r="I46" s="270"/>
      <c r="J46" s="214" t="str">
        <f>IF(M46="header","",INDEX('Tiered Cart Pricing Formulas'!$N:$N,MATCH(F46,'Tiered Cart Pricing Formulas'!$F:$F,0)))</f>
        <v/>
      </c>
      <c r="K46" s="268" t="str">
        <f>IF(LEFT(F46,6)="header","",INDEX('Tiered Cart Pricing Formulas'!$M:$M,MATCH(F46,'Tiered Cart Pricing Formulas'!$F:$F,0)))</f>
        <v/>
      </c>
      <c r="L46" s="268" cm="1">
        <f t="array" aca="1" ref="L46" ca="1">CELL("protect",A46)</f>
        <v>0</v>
      </c>
      <c r="M46" s="268" t="str">
        <f t="shared" si="0"/>
        <v>101016</v>
      </c>
      <c r="N46" s="268" t="str">
        <f t="shared" ca="1" si="1"/>
        <v>Good</v>
      </c>
      <c r="O46" s="268" t="str">
        <f>IF(M46="header","",INDEX('Tiered Cart Pricing Formulas'!$O:$O,MATCH(F46,'Tiered Cart Pricing Formulas'!$F:$F,0)))</f>
        <v/>
      </c>
    </row>
    <row r="47" spans="1:15" ht="15" customHeight="1" x14ac:dyDescent="0.25">
      <c r="A47" s="48"/>
      <c r="B47" s="49" t="str">
        <f>INDEX('Pricing (Drugs) SS'!$B:$B,MATCH(F47,'Pricing (Drugs) SS'!$A:$A,0))</f>
        <v>DEXAMETHASONE SODIUM PHOSPHATE INJECTION USP 100mg PER 10mL(10mg/mL*) 10mL VIAL</v>
      </c>
      <c r="C47" s="50" t="str">
        <f>IF(LEFT(F47,6)="Header","",INDEX('Pricing (Drugs) SS'!$E:$E,MATCH(F47,'Pricing (Drugs) SS'!$A:$A,0)))</f>
        <v>10mg/mL</v>
      </c>
      <c r="D47" s="49" t="str">
        <f>IF(LEFT(F47,6)="header","",INDEX('Pricing (Drugs) SS'!$F:$F,MATCH(F47,'Pricing (Drugs) SS'!$A:$A,0)))</f>
        <v>10mL</v>
      </c>
      <c r="E47" s="51" t="str">
        <f>IF(LEFT(F47,6)="Header","",INDEX('Pricing (Drugs) SS'!$D:$D,MATCH(F47,'Pricing (Drugs) SS'!$A:$A,0)))</f>
        <v>55150-305-10</v>
      </c>
      <c r="F47" s="119">
        <v>1016140</v>
      </c>
      <c r="G47" s="214" t="str">
        <f>IF(LEFT(F47,6)="Header","",INDEX('Tiered Cart Pricing Formulas'!$N:$N,MATCH(F47,'Tiered Cart Pricing Formulas'!$F:$F,0)))</f>
        <v/>
      </c>
      <c r="H47" s="269"/>
      <c r="I47" s="270"/>
      <c r="J47" s="214" t="str">
        <f>IF(M47="header","",INDEX('Tiered Cart Pricing Formulas'!$N:$N,MATCH(F47,'Tiered Cart Pricing Formulas'!$F:$F,0)))</f>
        <v/>
      </c>
      <c r="K47" s="268" t="str">
        <f>IF(LEFT(F47,6)="header","",INDEX('Tiered Cart Pricing Formulas'!$M:$M,MATCH(F47,'Tiered Cart Pricing Formulas'!$F:$F,0)))</f>
        <v/>
      </c>
      <c r="L47" s="268" cm="1">
        <f t="array" aca="1" ref="L47" ca="1">CELL("protect",A47)</f>
        <v>0</v>
      </c>
      <c r="M47" s="268" t="str">
        <f t="shared" si="0"/>
        <v>101614</v>
      </c>
      <c r="N47" s="268" t="str">
        <f t="shared" ca="1" si="1"/>
        <v>Good</v>
      </c>
      <c r="O47" s="268" t="str">
        <f>IF(M47="header","",INDEX('Tiered Cart Pricing Formulas'!$O:$O,MATCH(F47,'Tiered Cart Pricing Formulas'!$F:$F,0)))</f>
        <v/>
      </c>
    </row>
    <row r="48" spans="1:15" ht="15" customHeight="1" x14ac:dyDescent="0.25">
      <c r="A48" s="48"/>
      <c r="B48" s="49" t="str">
        <f>INDEX('Pricing (Drugs) SS'!$B:$B,MATCH(F48,'Pricing (Drugs) SS'!$A:$A,0))</f>
        <v>DEXAMETHASONE SODIUM PHOSPHATE INJECTION, USP 20mg/5mL (4mg/mL) 5mL VIAL</v>
      </c>
      <c r="C48" s="50" t="str">
        <f>IF(LEFT(F48,6)="Header","",INDEX('Pricing (Drugs) SS'!$E:$E,MATCH(F48,'Pricing (Drugs) SS'!$A:$A,0)))</f>
        <v>4mg/mL</v>
      </c>
      <c r="D48" s="49" t="str">
        <f>IF(LEFT(F48,6)="header","",INDEX('Pricing (Drugs) SS'!$F:$F,MATCH(F48,'Pricing (Drugs) SS'!$A:$A,0)))</f>
        <v>5mL</v>
      </c>
      <c r="E48" s="51" t="str">
        <f>IF(LEFT(F48,6)="Header","",INDEX('Pricing (Drugs) SS'!$D:$D,MATCH(F48,'Pricing (Drugs) SS'!$A:$A,0)))</f>
        <v>0641-6146-10</v>
      </c>
      <c r="F48" s="119">
        <v>1022730</v>
      </c>
      <c r="G48" s="214" t="str">
        <f>IF(LEFT(F48,6)="Header","",INDEX('Tiered Cart Pricing Formulas'!$N:$N,MATCH(F48,'Tiered Cart Pricing Formulas'!$F:$F,0)))</f>
        <v/>
      </c>
      <c r="H48" s="269"/>
      <c r="I48" s="270"/>
      <c r="J48" s="214" t="str">
        <f>IF(M48="header","",INDEX('Tiered Cart Pricing Formulas'!$N:$N,MATCH(F48,'Tiered Cart Pricing Formulas'!$F:$F,0)))</f>
        <v/>
      </c>
      <c r="K48" s="268" t="str">
        <f>IF(LEFT(F48,6)="header","",INDEX('Tiered Cart Pricing Formulas'!$M:$M,MATCH(F48,'Tiered Cart Pricing Formulas'!$F:$F,0)))</f>
        <v/>
      </c>
      <c r="L48" s="268" cm="1">
        <f t="array" aca="1" ref="L48" ca="1">CELL("protect",A48)</f>
        <v>0</v>
      </c>
      <c r="M48" s="268" t="str">
        <f t="shared" si="0"/>
        <v>102273</v>
      </c>
      <c r="N48" s="268" t="str">
        <f t="shared" ca="1" si="1"/>
        <v>Good</v>
      </c>
      <c r="O48" s="268" t="str">
        <f>IF(M48="header","",INDEX('Tiered Cart Pricing Formulas'!$O:$O,MATCH(F48,'Tiered Cart Pricing Formulas'!$F:$F,0)))</f>
        <v/>
      </c>
    </row>
    <row r="49" spans="1:15" ht="15" customHeight="1" x14ac:dyDescent="0.25">
      <c r="A49" s="118"/>
      <c r="B49" s="49" t="str">
        <f>INDEX('Pricing (Drugs) SS'!$B:$B,MATCH(F49,'Pricing (Drugs) SS'!$A:$A,0))</f>
        <v>DEXTROSE</v>
      </c>
      <c r="C49" s="50" t="str">
        <f>IF(LEFT(F49,6)="Header","",INDEX('Pricing (Drugs) SS'!$E:$E,MATCH(F49,'Pricing (Drugs) SS'!$A:$A,0)))</f>
        <v/>
      </c>
      <c r="D49" s="49" t="str">
        <f>IF(LEFT(F49,6)="header","",INDEX('Pricing (Drugs) SS'!$F:$F,MATCH(F49,'Pricing (Drugs) SS'!$A:$A,0)))</f>
        <v/>
      </c>
      <c r="E49" s="51" t="str">
        <f>IF(LEFT(F49,6)="Header","",INDEX('Pricing (Drugs) SS'!$D:$D,MATCH(F49,'Pricing (Drugs) SS'!$A:$A,0)))</f>
        <v/>
      </c>
      <c r="F49" s="119" t="s">
        <v>1549</v>
      </c>
      <c r="G49" s="214" t="str">
        <f>IF(LEFT(F49,6)="Header","",INDEX('Tiered Cart Pricing Formulas'!$N:$N,MATCH(F49,'Tiered Cart Pricing Formulas'!$F:$F,0)))</f>
        <v/>
      </c>
      <c r="H49" s="51"/>
      <c r="I49" s="272"/>
      <c r="J49" s="214" t="str">
        <f>IF(M49="header","",INDEX('Tiered Cart Pricing Formulas'!$N:$N,MATCH(F49,'Tiered Cart Pricing Formulas'!$F:$F,0)))</f>
        <v/>
      </c>
      <c r="K49" s="268" t="str">
        <f>IF(LEFT(F49,6)="header","",INDEX('Tiered Cart Pricing Formulas'!$M:$M,MATCH(F49,'Tiered Cart Pricing Formulas'!$F:$F,0)))</f>
        <v/>
      </c>
      <c r="L49" s="268" cm="1">
        <f t="array" aca="1" ref="L49" ca="1">CELL("protect",A49)</f>
        <v>1</v>
      </c>
      <c r="M49" s="268" t="str">
        <f t="shared" si="0"/>
        <v>HEADER</v>
      </c>
      <c r="N49" s="268" t="str">
        <f t="shared" ca="1" si="1"/>
        <v>Good</v>
      </c>
      <c r="O49" s="268" t="str">
        <f>IF(M49="header","",INDEX('Tiered Cart Pricing Formulas'!$O:$O,MATCH(F49,'Tiered Cart Pricing Formulas'!$F:$F,0)))</f>
        <v/>
      </c>
    </row>
    <row r="50" spans="1:15" ht="15" customHeight="1" x14ac:dyDescent="0.25">
      <c r="A50" s="48"/>
      <c r="B50" s="49" t="str">
        <f>INDEX('Pricing (Drugs) SS'!$B:$B,MATCH(F50,'Pricing (Drugs) SS'!$A:$A,0))</f>
        <v>INFANT 25% DEXTROSE INJECTION, USP 2.5g (250mg/mL) ANSYR SYR</v>
      </c>
      <c r="C50" s="50" t="str">
        <f>IF(LEFT(F50,6)="Header","",INDEX('Pricing (Drugs) SS'!$E:$E,MATCH(F50,'Pricing (Drugs) SS'!$A:$A,0)))</f>
        <v>250mg/mL</v>
      </c>
      <c r="D50" s="49" t="str">
        <f>IF(LEFT(F50,6)="header","",INDEX('Pricing (Drugs) SS'!$F:$F,MATCH(F50,'Pricing (Drugs) SS'!$A:$A,0)))</f>
        <v>10mL</v>
      </c>
      <c r="E50" s="51" t="str">
        <f>IF(LEFT(F50,6)="Header","",INDEX('Pricing (Drugs) SS'!$D:$D,MATCH(F50,'Pricing (Drugs) SS'!$A:$A,0)))</f>
        <v>0409-1775-10</v>
      </c>
      <c r="F50" s="119">
        <v>1000140</v>
      </c>
      <c r="G50" s="214" t="str">
        <f>IF(LEFT(F50,6)="Header","",INDEX('Tiered Cart Pricing Formulas'!$N:$N,MATCH(F50,'Tiered Cart Pricing Formulas'!$F:$F,0)))</f>
        <v/>
      </c>
      <c r="H50" s="269"/>
      <c r="I50" s="270"/>
      <c r="J50" s="214" t="str">
        <f>IF(M50="header","",INDEX('Tiered Cart Pricing Formulas'!$N:$N,MATCH(F50,'Tiered Cart Pricing Formulas'!$F:$F,0)))</f>
        <v/>
      </c>
      <c r="K50" s="268" t="str">
        <f>IF(LEFT(F50,6)="header","",INDEX('Tiered Cart Pricing Formulas'!$M:$M,MATCH(F50,'Tiered Cart Pricing Formulas'!$F:$F,0)))</f>
        <v/>
      </c>
      <c r="L50" s="268" cm="1">
        <f t="array" aca="1" ref="L50" ca="1">CELL("protect",A50)</f>
        <v>0</v>
      </c>
      <c r="M50" s="268" t="str">
        <f t="shared" si="0"/>
        <v>100014</v>
      </c>
      <c r="N50" s="268" t="str">
        <f t="shared" ca="1" si="1"/>
        <v>Good</v>
      </c>
      <c r="O50" s="268" t="str">
        <f>IF(M50="header","",INDEX('Tiered Cart Pricing Formulas'!$O:$O,MATCH(F50,'Tiered Cart Pricing Formulas'!$F:$F,0)))</f>
        <v/>
      </c>
    </row>
    <row r="51" spans="1:15" ht="15" customHeight="1" x14ac:dyDescent="0.25">
      <c r="A51" s="48"/>
      <c r="B51" s="49" t="str">
        <f>INDEX('Pricing (Drugs) SS'!$B:$B,MATCH(F51,'Pricing (Drugs) SS'!$A:$A,0))</f>
        <v>50% DEXTROSE INJECTION, USP 25grams/50mL (0.5g/mL) VIAL</v>
      </c>
      <c r="C51" s="50" t="str">
        <f>IF(LEFT(F51,6)="Header","",INDEX('Pricing (Drugs) SS'!$E:$E,MATCH(F51,'Pricing (Drugs) SS'!$A:$A,0)))</f>
        <v>0.5g/mL</v>
      </c>
      <c r="D51" s="49" t="str">
        <f>IF(LEFT(F51,6)="header","",INDEX('Pricing (Drugs) SS'!$F:$F,MATCH(F51,'Pricing (Drugs) SS'!$A:$A,0)))</f>
        <v>50mL</v>
      </c>
      <c r="E51" s="51" t="str">
        <f>IF(LEFT(F51,6)="Header","",INDEX('Pricing (Drugs) SS'!$D:$D,MATCH(F51,'Pricing (Drugs) SS'!$A:$A,0)))</f>
        <v>0409-6648-02</v>
      </c>
      <c r="F51" s="119">
        <v>1000160</v>
      </c>
      <c r="G51" s="214" t="str">
        <f>IF(LEFT(F51,6)="Header","",INDEX('Tiered Cart Pricing Formulas'!$N:$N,MATCH(F51,'Tiered Cart Pricing Formulas'!$F:$F,0)))</f>
        <v/>
      </c>
      <c r="H51" s="269"/>
      <c r="I51" s="270"/>
      <c r="J51" s="214" t="str">
        <f>IF(M51="header","",INDEX('Tiered Cart Pricing Formulas'!$N:$N,MATCH(F51,'Tiered Cart Pricing Formulas'!$F:$F,0)))</f>
        <v/>
      </c>
      <c r="K51" s="268" t="str">
        <f>IF(LEFT(F51,6)="header","",INDEX('Tiered Cart Pricing Formulas'!$M:$M,MATCH(F51,'Tiered Cart Pricing Formulas'!$F:$F,0)))</f>
        <v/>
      </c>
      <c r="L51" s="268" cm="1">
        <f t="array" aca="1" ref="L51" ca="1">CELL("protect",A51)</f>
        <v>0</v>
      </c>
      <c r="M51" s="268" t="str">
        <f t="shared" si="0"/>
        <v>100016</v>
      </c>
      <c r="N51" s="268" t="str">
        <f t="shared" ca="1" si="1"/>
        <v>Good</v>
      </c>
      <c r="O51" s="268" t="str">
        <f>IF(M51="header","",INDEX('Tiered Cart Pricing Formulas'!$O:$O,MATCH(F51,'Tiered Cart Pricing Formulas'!$F:$F,0)))</f>
        <v/>
      </c>
    </row>
    <row r="52" spans="1:15" ht="15" customHeight="1" x14ac:dyDescent="0.25">
      <c r="A52" s="48"/>
      <c r="B52" s="49" t="str">
        <f>INDEX('Pricing (Drugs) SS'!$B:$B,MATCH(F52,'Pricing (Drugs) SS'!$A:$A,0))</f>
        <v>50% DEXTROSE INJECTION, USP 25g/50mL (0.5 g/mL) 50mL LUER-JET™ SYR</v>
      </c>
      <c r="C52" s="50" t="str">
        <f>IF(LEFT(F52,6)="Header","",INDEX('Pricing (Drugs) SS'!$E:$E,MATCH(F52,'Pricing (Drugs) SS'!$A:$A,0)))</f>
        <v>0.5 g/mL</v>
      </c>
      <c r="D52" s="49" t="str">
        <f>IF(LEFT(F52,6)="header","",INDEX('Pricing (Drugs) SS'!$F:$F,MATCH(F52,'Pricing (Drugs) SS'!$A:$A,0)))</f>
        <v>50 mL</v>
      </c>
      <c r="E52" s="51" t="str">
        <f>IF(LEFT(F52,6)="Header","",INDEX('Pricing (Drugs) SS'!$D:$D,MATCH(F52,'Pricing (Drugs) SS'!$A:$A,0)))</f>
        <v>76329-3302-1</v>
      </c>
      <c r="F52" s="119">
        <v>1017610</v>
      </c>
      <c r="G52" s="214" t="str">
        <f>IF(LEFT(F52,6)="Header","",INDEX('Tiered Cart Pricing Formulas'!$N:$N,MATCH(F52,'Tiered Cart Pricing Formulas'!$F:$F,0)))</f>
        <v/>
      </c>
      <c r="H52" s="269"/>
      <c r="I52" s="270"/>
      <c r="J52" s="214" t="str">
        <f>IF(M52="header","",INDEX('Tiered Cart Pricing Formulas'!$N:$N,MATCH(F52,'Tiered Cart Pricing Formulas'!$F:$F,0)))</f>
        <v/>
      </c>
      <c r="K52" s="268" t="str">
        <f>IF(LEFT(F52,6)="header","",INDEX('Tiered Cart Pricing Formulas'!$M:$M,MATCH(F52,'Tiered Cart Pricing Formulas'!$F:$F,0)))</f>
        <v/>
      </c>
      <c r="L52" s="268" cm="1">
        <f t="array" aca="1" ref="L52" ca="1">CELL("protect",A52)</f>
        <v>0</v>
      </c>
      <c r="M52" s="268" t="str">
        <f t="shared" si="0"/>
        <v>101761</v>
      </c>
      <c r="N52" s="268" t="str">
        <f t="shared" ca="1" si="1"/>
        <v>Good</v>
      </c>
      <c r="O52" s="268" t="str">
        <f>IF(M52="header","",INDEX('Tiered Cart Pricing Formulas'!$O:$O,MATCH(F52,'Tiered Cart Pricing Formulas'!$F:$F,0)))</f>
        <v/>
      </c>
    </row>
    <row r="53" spans="1:15" ht="15" customHeight="1" x14ac:dyDescent="0.25">
      <c r="A53" s="48"/>
      <c r="B53" s="49" t="str">
        <f>INDEX('Pricing (Drugs) SS'!$B:$B,MATCH(F53,'Pricing (Drugs) SS'!$A:$A,0))</f>
        <v>5% DEXTROSE INJECTION, USP 250mL BAG</v>
      </c>
      <c r="C53" s="50" t="str">
        <f>IF(LEFT(F53,6)="Header","",INDEX('Pricing (Drugs) SS'!$E:$E,MATCH(F53,'Pricing (Drugs) SS'!$A:$A,0)))</f>
        <v>50mg/mL</v>
      </c>
      <c r="D53" s="49" t="str">
        <f>IF(LEFT(F53,6)="header","",INDEX('Pricing (Drugs) SS'!$F:$F,MATCH(F53,'Pricing (Drugs) SS'!$A:$A,0)))</f>
        <v>250mL</v>
      </c>
      <c r="E53" s="51" t="str">
        <f>IF(LEFT(F53,6)="Header","",INDEX('Pricing (Drugs) SS'!$D:$D,MATCH(F53,'Pricing (Drugs) SS'!$A:$A,0)))</f>
        <v>0990-7922-02</v>
      </c>
      <c r="F53" s="119">
        <v>1013200</v>
      </c>
      <c r="G53" s="214" t="str">
        <f>IF(LEFT(F53,6)="Header","",INDEX('Tiered Cart Pricing Formulas'!$N:$N,MATCH(F53,'Tiered Cart Pricing Formulas'!$F:$F,0)))</f>
        <v/>
      </c>
      <c r="H53" s="269"/>
      <c r="I53" s="270"/>
      <c r="J53" s="214" t="str">
        <f>IF(M53="header","",INDEX('Tiered Cart Pricing Formulas'!$N:$N,MATCH(F53,'Tiered Cart Pricing Formulas'!$F:$F,0)))</f>
        <v/>
      </c>
      <c r="K53" s="268" t="str">
        <f>IF(LEFT(F53,6)="header","",INDEX('Tiered Cart Pricing Formulas'!$M:$M,MATCH(F53,'Tiered Cart Pricing Formulas'!$F:$F,0)))</f>
        <v/>
      </c>
      <c r="L53" s="268" cm="1">
        <f t="array" aca="1" ref="L53" ca="1">CELL("protect",A53)</f>
        <v>0</v>
      </c>
      <c r="M53" s="268" t="str">
        <f t="shared" si="0"/>
        <v>101320</v>
      </c>
      <c r="N53" s="268" t="str">
        <f t="shared" ca="1" si="1"/>
        <v>Good</v>
      </c>
      <c r="O53" s="268" t="str">
        <f>IF(M53="header","",INDEX('Tiered Cart Pricing Formulas'!$O:$O,MATCH(F53,'Tiered Cart Pricing Formulas'!$F:$F,0)))</f>
        <v/>
      </c>
    </row>
    <row r="54" spans="1:15" ht="15" customHeight="1" x14ac:dyDescent="0.25">
      <c r="A54" s="118"/>
      <c r="B54" s="49" t="str">
        <f>INDEX('Pricing (Drugs) SS'!$B:$B,MATCH(F54,'Pricing (Drugs) SS'!$A:$A,0))</f>
        <v>DIGOXIN</v>
      </c>
      <c r="C54" s="50" t="str">
        <f>IF(LEFT(F54,6)="Header","",INDEX('Pricing (Drugs) SS'!$E:$E,MATCH(F54,'Pricing (Drugs) SS'!$A:$A,0)))</f>
        <v/>
      </c>
      <c r="D54" s="49" t="str">
        <f>IF(LEFT(F54,6)="header","",INDEX('Pricing (Drugs) SS'!$F:$F,MATCH(F54,'Pricing (Drugs) SS'!$A:$A,0)))</f>
        <v/>
      </c>
      <c r="E54" s="51" t="str">
        <f>IF(LEFT(F54,6)="Header","",INDEX('Pricing (Drugs) SS'!$D:$D,MATCH(F54,'Pricing (Drugs) SS'!$A:$A,0)))</f>
        <v/>
      </c>
      <c r="F54" s="119" t="s">
        <v>1550</v>
      </c>
      <c r="G54" s="214" t="str">
        <f>IF(LEFT(F54,6)="Header","",INDEX('Tiered Cart Pricing Formulas'!$N:$N,MATCH(F54,'Tiered Cart Pricing Formulas'!$F:$F,0)))</f>
        <v/>
      </c>
      <c r="H54" s="51"/>
      <c r="I54" s="272"/>
      <c r="J54" s="214" t="str">
        <f>IF(M54="header","",INDEX('Tiered Cart Pricing Formulas'!$N:$N,MATCH(F54,'Tiered Cart Pricing Formulas'!$F:$F,0)))</f>
        <v/>
      </c>
      <c r="K54" s="268" t="str">
        <f>IF(LEFT(F54,6)="header","",INDEX('Tiered Cart Pricing Formulas'!$M:$M,MATCH(F54,'Tiered Cart Pricing Formulas'!$F:$F,0)))</f>
        <v/>
      </c>
      <c r="L54" s="268" cm="1">
        <f t="array" aca="1" ref="L54" ca="1">CELL("protect",A54)</f>
        <v>1</v>
      </c>
      <c r="M54" s="268" t="str">
        <f t="shared" si="0"/>
        <v>HEADER</v>
      </c>
      <c r="N54" s="268" t="str">
        <f t="shared" ca="1" si="1"/>
        <v>Good</v>
      </c>
      <c r="O54" s="268" t="str">
        <f>IF(M54="header","",INDEX('Tiered Cart Pricing Formulas'!$O:$O,MATCH(F54,'Tiered Cart Pricing Formulas'!$F:$F,0)))</f>
        <v/>
      </c>
    </row>
    <row r="55" spans="1:15" ht="15" customHeight="1" x14ac:dyDescent="0.25">
      <c r="A55" s="48"/>
      <c r="B55" s="49" t="str">
        <f>INDEX('Pricing (Drugs) SS'!$B:$B,MATCH(F55,'Pricing (Drugs) SS'!$A:$A,0))</f>
        <v>DIGOXIN INJECTION, USP 500mcg/2mL 0.5/2mL (250mcg/mL) AMP</v>
      </c>
      <c r="C55" s="50" t="str">
        <f>IF(LEFT(F55,6)="Header","",INDEX('Pricing (Drugs) SS'!$E:$E,MATCH(F55,'Pricing (Drugs) SS'!$A:$A,0)))</f>
        <v>0.25mg/mL</v>
      </c>
      <c r="D55" s="49" t="str">
        <f>IF(LEFT(F55,6)="header","",INDEX('Pricing (Drugs) SS'!$F:$F,MATCH(F55,'Pricing (Drugs) SS'!$A:$A,0)))</f>
        <v>2mL</v>
      </c>
      <c r="E55" s="51" t="str">
        <f>IF(LEFT(F55,6)="Header","",INDEX('Pricing (Drugs) SS'!$D:$D,MATCH(F55,'Pricing (Drugs) SS'!$A:$A,0)))</f>
        <v>0641-1410-35</v>
      </c>
      <c r="F55" s="119">
        <v>1000180</v>
      </c>
      <c r="G55" s="214" t="str">
        <f>IF(LEFT(F55,6)="Header","",INDEX('Tiered Cart Pricing Formulas'!$N:$N,MATCH(F55,'Tiered Cart Pricing Formulas'!$F:$F,0)))</f>
        <v/>
      </c>
      <c r="H55" s="269"/>
      <c r="I55" s="270"/>
      <c r="J55" s="214" t="str">
        <f>IF(M55="header","",INDEX('Tiered Cart Pricing Formulas'!$N:$N,MATCH(F55,'Tiered Cart Pricing Formulas'!$F:$F,0)))</f>
        <v/>
      </c>
      <c r="K55" s="268" t="str">
        <f>IF(LEFT(F55,6)="header","",INDEX('Tiered Cart Pricing Formulas'!$M:$M,MATCH(F55,'Tiered Cart Pricing Formulas'!$F:$F,0)))</f>
        <v/>
      </c>
      <c r="L55" s="268" cm="1">
        <f t="array" aca="1" ref="L55" ca="1">CELL("protect",A55)</f>
        <v>0</v>
      </c>
      <c r="M55" s="268" t="str">
        <f t="shared" si="0"/>
        <v>100018</v>
      </c>
      <c r="N55" s="268" t="str">
        <f t="shared" ca="1" si="1"/>
        <v>Good</v>
      </c>
      <c r="O55" s="268" t="str">
        <f>IF(M55="header","",INDEX('Tiered Cart Pricing Formulas'!$O:$O,MATCH(F55,'Tiered Cart Pricing Formulas'!$F:$F,0)))</f>
        <v/>
      </c>
    </row>
    <row r="56" spans="1:15" ht="15" customHeight="1" x14ac:dyDescent="0.25">
      <c r="A56" s="118"/>
      <c r="B56" s="49" t="str">
        <f>INDEX('Pricing (Drugs) SS'!$B:$B,MATCH(F56,'Pricing (Drugs) SS'!$A:$A,0))</f>
        <v>DILTIAZEM</v>
      </c>
      <c r="C56" s="50" t="str">
        <f>IF(LEFT(F56,6)="Header","",INDEX('Pricing (Drugs) SS'!$E:$E,MATCH(F56,'Pricing (Drugs) SS'!$A:$A,0)))</f>
        <v/>
      </c>
      <c r="D56" s="49" t="str">
        <f>IF(LEFT(F56,6)="header","",INDEX('Pricing (Drugs) SS'!$F:$F,MATCH(F56,'Pricing (Drugs) SS'!$A:$A,0)))</f>
        <v/>
      </c>
      <c r="E56" s="51" t="str">
        <f>IF(LEFT(F56,6)="Header","",INDEX('Pricing (Drugs) SS'!$D:$D,MATCH(F56,'Pricing (Drugs) SS'!$A:$A,0)))</f>
        <v/>
      </c>
      <c r="F56" s="119" t="s">
        <v>1551</v>
      </c>
      <c r="G56" s="214" t="str">
        <f>IF(LEFT(F56,6)="Header","",INDEX('Tiered Cart Pricing Formulas'!$N:$N,MATCH(F56,'Tiered Cart Pricing Formulas'!$F:$F,0)))</f>
        <v/>
      </c>
      <c r="H56" s="51"/>
      <c r="I56" s="272"/>
      <c r="J56" s="214" t="str">
        <f>IF(M56="header","",INDEX('Tiered Cart Pricing Formulas'!$N:$N,MATCH(F56,'Tiered Cart Pricing Formulas'!$F:$F,0)))</f>
        <v/>
      </c>
      <c r="K56" s="268" t="str">
        <f>IF(LEFT(F56,6)="header","",INDEX('Tiered Cart Pricing Formulas'!$M:$M,MATCH(F56,'Tiered Cart Pricing Formulas'!$F:$F,0)))</f>
        <v/>
      </c>
      <c r="L56" s="268" cm="1">
        <f t="array" aca="1" ref="L56" ca="1">CELL("protect",A56)</f>
        <v>1</v>
      </c>
      <c r="M56" s="268" t="str">
        <f t="shared" si="0"/>
        <v>HEADER</v>
      </c>
      <c r="N56" s="268" t="str">
        <f t="shared" ca="1" si="1"/>
        <v>Good</v>
      </c>
      <c r="O56" s="268" t="str">
        <f>IF(M56="header","",INDEX('Tiered Cart Pricing Formulas'!$O:$O,MATCH(F56,'Tiered Cart Pricing Formulas'!$F:$F,0)))</f>
        <v/>
      </c>
    </row>
    <row r="57" spans="1:15" s="264" customFormat="1" ht="15" customHeight="1" x14ac:dyDescent="0.25">
      <c r="A57" s="48"/>
      <c r="B57" s="49" t="str">
        <f>INDEX('Pricing (Drugs) SS'!$B:$B,MATCH(F57,'Pricing (Drugs) SS'!$A:$A,0))</f>
        <v>DILTIAZEM HCI INJECTION 25mg/5mL (5 mg/mL) 5mL VIAL</v>
      </c>
      <c r="C57" s="50" t="str">
        <f>IF(LEFT(F57,6)="Header","",INDEX('Pricing (Drugs) SS'!$E:$E,MATCH(F57,'Pricing (Drugs) SS'!$A:$A,0)))</f>
        <v>25mg/5mL (5 mg/mL</v>
      </c>
      <c r="D57" s="49" t="str">
        <f>IF(LEFT(F57,6)="header","",INDEX('Pricing (Drugs) SS'!$F:$F,MATCH(F57,'Pricing (Drugs) SS'!$A:$A,0)))</f>
        <v>5mL</v>
      </c>
      <c r="E57" s="51" t="str">
        <f>IF(LEFT(F57,6)="Header","",INDEX('Pricing (Drugs) SS'!$D:$D,MATCH(F57,'Pricing (Drugs) SS'!$A:$A,0)))</f>
        <v>0641-6013-10</v>
      </c>
      <c r="F57" s="119">
        <v>1010080</v>
      </c>
      <c r="G57" s="214" t="str">
        <f>IF(LEFT(F57,6)="Header","",INDEX('Tiered Cart Pricing Formulas'!$N:$N,MATCH(F57,'Tiered Cart Pricing Formulas'!$F:$F,0)))</f>
        <v/>
      </c>
      <c r="H57" s="269"/>
      <c r="I57" s="270"/>
      <c r="J57" s="214" t="str">
        <f>IF(M57="header","",INDEX('Tiered Cart Pricing Formulas'!$N:$N,MATCH(F57,'Tiered Cart Pricing Formulas'!$F:$F,0)))</f>
        <v/>
      </c>
      <c r="K57" s="268" t="str">
        <f>IF(LEFT(F57,6)="header","",INDEX('Tiered Cart Pricing Formulas'!$M:$M,MATCH(F57,'Tiered Cart Pricing Formulas'!$F:$F,0)))</f>
        <v>C</v>
      </c>
      <c r="L57" s="268" cm="1">
        <f t="array" aca="1" ref="L57" ca="1">CELL("protect",A57)</f>
        <v>0</v>
      </c>
      <c r="M57" s="268" t="str">
        <f t="shared" si="0"/>
        <v>101008</v>
      </c>
      <c r="N57" s="268" t="str">
        <f t="shared" ca="1" si="1"/>
        <v>Good</v>
      </c>
      <c r="O57" s="268" t="str">
        <f>IF(M57="header","",INDEX('Tiered Cart Pricing Formulas'!$O:$O,MATCH(F57,'Tiered Cart Pricing Formulas'!$F:$F,0)))</f>
        <v/>
      </c>
    </row>
    <row r="58" spans="1:15" ht="15" customHeight="1" x14ac:dyDescent="0.25">
      <c r="A58" s="48"/>
      <c r="B58" s="49" t="str">
        <f>INDEX('Pricing (Drugs) SS'!$B:$B,MATCH(F58,'Pricing (Drugs) SS'!$A:$A,0))</f>
        <v>DILTIAZEM HCI FOR INJECTION 100mg/VIAL DILTIAZEM HCl VIAL</v>
      </c>
      <c r="C58" s="50" t="str">
        <f>IF(LEFT(F58,6)="Header","",INDEX('Pricing (Drugs) SS'!$E:$E,MATCH(F58,'Pricing (Drugs) SS'!$A:$A,0)))</f>
        <v>100mg/1</v>
      </c>
      <c r="D58" s="49" t="str">
        <f>IF(LEFT(F58,6)="header","",INDEX('Pricing (Drugs) SS'!$F:$F,MATCH(F58,'Pricing (Drugs) SS'!$A:$A,0)))</f>
        <v>15mL</v>
      </c>
      <c r="E58" s="51" t="str">
        <f>IF(LEFT(F58,6)="Header","",INDEX('Pricing (Drugs) SS'!$D:$D,MATCH(F58,'Pricing (Drugs) SS'!$A:$A,0)))</f>
        <v>0409-4350-03</v>
      </c>
      <c r="F58" s="119">
        <v>1012770</v>
      </c>
      <c r="G58" s="214" t="str">
        <f>IF(LEFT(F58,6)="Header","",INDEX('Tiered Cart Pricing Formulas'!$N:$N,MATCH(F58,'Tiered Cart Pricing Formulas'!$F:$F,0)))</f>
        <v/>
      </c>
      <c r="H58" s="269"/>
      <c r="I58" s="270"/>
      <c r="J58" s="214" t="str">
        <f>IF(M58="header","",INDEX('Tiered Cart Pricing Formulas'!$N:$N,MATCH(F58,'Tiered Cart Pricing Formulas'!$F:$F,0)))</f>
        <v/>
      </c>
      <c r="K58" s="268" t="str">
        <f>IF(LEFT(F58,6)="header","",INDEX('Tiered Cart Pricing Formulas'!$M:$M,MATCH(F58,'Tiered Cart Pricing Formulas'!$F:$F,0)))</f>
        <v/>
      </c>
      <c r="L58" s="268" cm="1">
        <f t="array" aca="1" ref="L58" ca="1">CELL("protect",A58)</f>
        <v>0</v>
      </c>
      <c r="M58" s="268" t="str">
        <f t="shared" si="0"/>
        <v>101277</v>
      </c>
      <c r="N58" s="268" t="str">
        <f t="shared" ca="1" si="1"/>
        <v>Good</v>
      </c>
      <c r="O58" s="268" t="str">
        <f>IF(M58="header","",INDEX('Tiered Cart Pricing Formulas'!$O:$O,MATCH(F58,'Tiered Cart Pricing Formulas'!$F:$F,0)))</f>
        <v/>
      </c>
    </row>
    <row r="59" spans="1:15" ht="15" customHeight="1" x14ac:dyDescent="0.25">
      <c r="A59" s="118"/>
      <c r="B59" s="49" t="str">
        <f>INDEX('Pricing (Drugs) SS'!$B:$B,MATCH(F59,'Pricing (Drugs) SS'!$A:$A,0))</f>
        <v>DIPHENHYDRAMINE</v>
      </c>
      <c r="C59" s="50" t="str">
        <f>IF(LEFT(F59,6)="Header","",INDEX('Pricing (Drugs) SS'!$E:$E,MATCH(F59,'Pricing (Drugs) SS'!$A:$A,0)))</f>
        <v/>
      </c>
      <c r="D59" s="49" t="str">
        <f>IF(LEFT(F59,6)="header","",INDEX('Pricing (Drugs) SS'!$F:$F,MATCH(F59,'Pricing (Drugs) SS'!$A:$A,0)))</f>
        <v/>
      </c>
      <c r="E59" s="51" t="str">
        <f>IF(LEFT(F59,6)="Header","",INDEX('Pricing (Drugs) SS'!$D:$D,MATCH(F59,'Pricing (Drugs) SS'!$A:$A,0)))</f>
        <v/>
      </c>
      <c r="F59" s="119" t="s">
        <v>1552</v>
      </c>
      <c r="G59" s="214" t="str">
        <f>IF(LEFT(F59,6)="Header","",INDEX('Tiered Cart Pricing Formulas'!$N:$N,MATCH(F59,'Tiered Cart Pricing Formulas'!$F:$F,0)))</f>
        <v/>
      </c>
      <c r="H59" s="51"/>
      <c r="I59" s="272"/>
      <c r="J59" s="214" t="str">
        <f>IF(M59="header","",INDEX('Tiered Cart Pricing Formulas'!$N:$N,MATCH(F59,'Tiered Cart Pricing Formulas'!$F:$F,0)))</f>
        <v/>
      </c>
      <c r="K59" s="268" t="str">
        <f>IF(LEFT(F59,6)="header","",INDEX('Tiered Cart Pricing Formulas'!$M:$M,MATCH(F59,'Tiered Cart Pricing Formulas'!$F:$F,0)))</f>
        <v/>
      </c>
      <c r="L59" s="268" cm="1">
        <f t="array" aca="1" ref="L59" ca="1">CELL("protect",A59)</f>
        <v>1</v>
      </c>
      <c r="M59" s="268" t="str">
        <f t="shared" si="0"/>
        <v>HEADER</v>
      </c>
      <c r="N59" s="268" t="str">
        <f t="shared" ca="1" si="1"/>
        <v>Good</v>
      </c>
      <c r="O59" s="268" t="str">
        <f>IF(M59="header","",INDEX('Tiered Cart Pricing Formulas'!$O:$O,MATCH(F59,'Tiered Cart Pricing Formulas'!$F:$F,0)))</f>
        <v/>
      </c>
    </row>
    <row r="60" spans="1:15" s="265" customFormat="1" ht="15" customHeight="1" x14ac:dyDescent="0.25">
      <c r="A60" s="48"/>
      <c r="B60" s="49" t="str">
        <f>INDEX('Pricing (Drugs) SS'!$B:$B,MATCH(F60,'Pricing (Drugs) SS'!$A:$A,0))</f>
        <v>DIPHENHYDRAMINE HCI INJECTION, USP 50mg/mL 1mL VIAL</v>
      </c>
      <c r="C60" s="50" t="str">
        <f>IF(LEFT(F60,6)="Header","",INDEX('Pricing (Drugs) SS'!$E:$E,MATCH(F60,'Pricing (Drugs) SS'!$A:$A,0)))</f>
        <v>50mg/mL</v>
      </c>
      <c r="D60" s="49" t="str">
        <f>IF(LEFT(F60,6)="header","",INDEX('Pricing (Drugs) SS'!$F:$F,MATCH(F60,'Pricing (Drugs) SS'!$A:$A,0)))</f>
        <v>1mL</v>
      </c>
      <c r="E60" s="51" t="str">
        <f>IF(LEFT(F60,6)="Header","",INDEX('Pricing (Drugs) SS'!$D:$D,MATCH(F60,'Pricing (Drugs) SS'!$A:$A,0)))</f>
        <v>0641-0376-25</v>
      </c>
      <c r="F60" s="119">
        <v>1000200</v>
      </c>
      <c r="G60" s="214" t="str">
        <f>IF(LEFT(F60,6)="Header","",INDEX('Tiered Cart Pricing Formulas'!$N:$N,MATCH(F60,'Tiered Cart Pricing Formulas'!$F:$F,0)))</f>
        <v/>
      </c>
      <c r="H60" s="269"/>
      <c r="I60" s="270"/>
      <c r="J60" s="214" t="str">
        <f>IF(M60="header","",INDEX('Tiered Cart Pricing Formulas'!$N:$N,MATCH(F60,'Tiered Cart Pricing Formulas'!$F:$F,0)))</f>
        <v/>
      </c>
      <c r="K60" s="268" t="str">
        <f>IF(LEFT(F60,6)="header","",INDEX('Tiered Cart Pricing Formulas'!$M:$M,MATCH(F60,'Tiered Cart Pricing Formulas'!$F:$F,0)))</f>
        <v/>
      </c>
      <c r="L60" s="268" cm="1">
        <f t="array" aca="1" ref="L60" ca="1">CELL("protect",A60)</f>
        <v>0</v>
      </c>
      <c r="M60" s="268" t="str">
        <f t="shared" si="0"/>
        <v>100020</v>
      </c>
      <c r="N60" s="268" t="str">
        <f t="shared" ca="1" si="1"/>
        <v>Good</v>
      </c>
      <c r="O60" s="268" t="str">
        <f>IF(M60="header","",INDEX('Tiered Cart Pricing Formulas'!$O:$O,MATCH(F60,'Tiered Cart Pricing Formulas'!$F:$F,0)))</f>
        <v/>
      </c>
    </row>
    <row r="61" spans="1:15" s="267" customFormat="1" ht="15" customHeight="1" x14ac:dyDescent="0.25">
      <c r="A61" s="48"/>
      <c r="B61" s="49" t="str">
        <f>INDEX('Pricing (Drugs) SS'!$B:$B,MATCH(F61,'Pricing (Drugs) SS'!$A:$A,0))</f>
        <v>DIPHENHYDRAMINE HCl 25mg CAPLET (2 PACK)</v>
      </c>
      <c r="C61" s="50" t="str">
        <f>IF(LEFT(F61,6)="Header","",INDEX('Pricing (Drugs) SS'!$E:$E,MATCH(F61,'Pricing (Drugs) SS'!$A:$A,0)))</f>
        <v>25 mg/1</v>
      </c>
      <c r="D61" s="49" t="str">
        <f>IF(LEFT(F61,6)="header","",INDEX('Pricing (Drugs) SS'!$F:$F,MATCH(F61,'Pricing (Drugs) SS'!$A:$A,0)))</f>
        <v>1 caplet</v>
      </c>
      <c r="E61" s="51" t="str">
        <f>IF(LEFT(F61,6)="Header","",INDEX('Pricing (Drugs) SS'!$D:$D,MATCH(F61,'Pricing (Drugs) SS'!$A:$A,0)))</f>
        <v>47682-167-47</v>
      </c>
      <c r="F61" s="119">
        <v>1024640</v>
      </c>
      <c r="G61" s="214" t="str">
        <f>IF(LEFT(F61,6)="Header","",INDEX('Tiered Cart Pricing Formulas'!$N:$N,MATCH(F61,'Tiered Cart Pricing Formulas'!$F:$F,0)))</f>
        <v/>
      </c>
      <c r="H61" s="269"/>
      <c r="I61" s="270"/>
      <c r="J61" s="214" t="str">
        <f>IF(M61="header","",INDEX('Tiered Cart Pricing Formulas'!$N:$N,MATCH(F61,'Tiered Cart Pricing Formulas'!$F:$F,0)))</f>
        <v/>
      </c>
      <c r="K61" s="268" t="str">
        <f>IF(LEFT(F61,6)="header","",INDEX('Tiered Cart Pricing Formulas'!$M:$M,MATCH(F61,'Tiered Cart Pricing Formulas'!$F:$F,0)))</f>
        <v/>
      </c>
      <c r="L61" s="268" cm="1">
        <f t="array" aca="1" ref="L61" ca="1">CELL("protect",A61)</f>
        <v>0</v>
      </c>
      <c r="M61" s="268" t="str">
        <f t="shared" si="0"/>
        <v>102464</v>
      </c>
      <c r="N61" s="268" t="str">
        <f t="shared" ca="1" si="1"/>
        <v>Good</v>
      </c>
      <c r="O61" s="268" t="str">
        <f>IF(M61="header","",INDEX('Tiered Cart Pricing Formulas'!$O:$O,MATCH(F61,'Tiered Cart Pricing Formulas'!$F:$F,0)))</f>
        <v/>
      </c>
    </row>
    <row r="62" spans="1:15" ht="15" customHeight="1" x14ac:dyDescent="0.25">
      <c r="A62" s="118"/>
      <c r="B62" s="49" t="str">
        <f>INDEX('Pricing (Drugs) SS'!$B:$B,MATCH(F62,'Pricing (Drugs) SS'!$A:$A,0))</f>
        <v>DOBUTAMINE</v>
      </c>
      <c r="C62" s="50" t="str">
        <f>IF(LEFT(F62,6)="Header","",INDEX('Pricing (Drugs) SS'!$E:$E,MATCH(F62,'Pricing (Drugs) SS'!$A:$A,0)))</f>
        <v/>
      </c>
      <c r="D62" s="49" t="str">
        <f>IF(LEFT(F62,6)="header","",INDEX('Pricing (Drugs) SS'!$F:$F,MATCH(F62,'Pricing (Drugs) SS'!$A:$A,0)))</f>
        <v/>
      </c>
      <c r="E62" s="51" t="str">
        <f>IF(LEFT(F62,6)="Header","",INDEX('Pricing (Drugs) SS'!$D:$D,MATCH(F62,'Pricing (Drugs) SS'!$A:$A,0)))</f>
        <v/>
      </c>
      <c r="F62" s="119" t="s">
        <v>1553</v>
      </c>
      <c r="G62" s="214" t="str">
        <f>IF(LEFT(F62,6)="Header","",INDEX('Tiered Cart Pricing Formulas'!$N:$N,MATCH(F62,'Tiered Cart Pricing Formulas'!$F:$F,0)))</f>
        <v/>
      </c>
      <c r="H62" s="51"/>
      <c r="I62" s="272"/>
      <c r="J62" s="214" t="str">
        <f>IF(M62="header","",INDEX('Tiered Cart Pricing Formulas'!$N:$N,MATCH(F62,'Tiered Cart Pricing Formulas'!$F:$F,0)))</f>
        <v/>
      </c>
      <c r="K62" s="268" t="str">
        <f>IF(LEFT(F62,6)="header","",INDEX('Tiered Cart Pricing Formulas'!$M:$M,MATCH(F62,'Tiered Cart Pricing Formulas'!$F:$F,0)))</f>
        <v/>
      </c>
      <c r="L62" s="268" cm="1">
        <f t="array" aca="1" ref="L62" ca="1">CELL("protect",A62)</f>
        <v>1</v>
      </c>
      <c r="M62" s="268" t="str">
        <f t="shared" si="0"/>
        <v>HEADER</v>
      </c>
      <c r="N62" s="268" t="str">
        <f t="shared" ca="1" si="1"/>
        <v>Good</v>
      </c>
      <c r="O62" s="268" t="str">
        <f>IF(M62="header","",INDEX('Tiered Cart Pricing Formulas'!$O:$O,MATCH(F62,'Tiered Cart Pricing Formulas'!$F:$F,0)))</f>
        <v/>
      </c>
    </row>
    <row r="63" spans="1:15" ht="15" customHeight="1" x14ac:dyDescent="0.25">
      <c r="A63" s="48"/>
      <c r="B63" s="49" t="str">
        <f>INDEX('Pricing (Drugs) SS'!$B:$B,MATCH(F63,'Pricing (Drugs) SS'!$A:$A,0))</f>
        <v>DOBUTAMINE INJECTION, USP 250mg PER 20mL VIAL</v>
      </c>
      <c r="C63" s="50" t="str">
        <f>IF(LEFT(F63,6)="Header","",INDEX('Pricing (Drugs) SS'!$E:$E,MATCH(F63,'Pricing (Drugs) SS'!$A:$A,0)))</f>
        <v>250mg PER 20mL</v>
      </c>
      <c r="D63" s="49" t="str">
        <f>IF(LEFT(F63,6)="header","",INDEX('Pricing (Drugs) SS'!$F:$F,MATCH(F63,'Pricing (Drugs) SS'!$A:$A,0)))</f>
        <v>20mL</v>
      </c>
      <c r="E63" s="51" t="str">
        <f>IF(LEFT(F63,6)="Header","",INDEX('Pricing (Drugs) SS'!$D:$D,MATCH(F63,'Pricing (Drugs) SS'!$A:$A,0)))</f>
        <v>0409-2344-02</v>
      </c>
      <c r="F63" s="119">
        <v>1010100</v>
      </c>
      <c r="G63" s="214" t="str">
        <f>IF(LEFT(F63,6)="Header","",INDEX('Tiered Cart Pricing Formulas'!$N:$N,MATCH(F63,'Tiered Cart Pricing Formulas'!$F:$F,0)))</f>
        <v/>
      </c>
      <c r="H63" s="269"/>
      <c r="I63" s="270"/>
      <c r="J63" s="214" t="str">
        <f>IF(M63="header","",INDEX('Tiered Cart Pricing Formulas'!$N:$N,MATCH(F63,'Tiered Cart Pricing Formulas'!$F:$F,0)))</f>
        <v/>
      </c>
      <c r="K63" s="268" t="str">
        <f>IF(LEFT(F63,6)="header","",INDEX('Tiered Cart Pricing Formulas'!$M:$M,MATCH(F63,'Tiered Cart Pricing Formulas'!$F:$F,0)))</f>
        <v/>
      </c>
      <c r="L63" s="268" cm="1">
        <f t="array" aca="1" ref="L63" ca="1">CELL("protect",A63)</f>
        <v>0</v>
      </c>
      <c r="M63" s="268" t="str">
        <f t="shared" si="0"/>
        <v>101010</v>
      </c>
      <c r="N63" s="268" t="str">
        <f t="shared" ca="1" si="1"/>
        <v>Good</v>
      </c>
      <c r="O63" s="268" t="str">
        <f>IF(M63="header","",INDEX('Tiered Cart Pricing Formulas'!$O:$O,MATCH(F63,'Tiered Cart Pricing Formulas'!$F:$F,0)))</f>
        <v/>
      </c>
    </row>
    <row r="64" spans="1:15" ht="15" customHeight="1" x14ac:dyDescent="0.25">
      <c r="A64" s="48"/>
      <c r="B64" s="49" t="str">
        <f>INDEX('Pricing (Drugs) SS'!$B:$B,MATCH(F64,'Pricing (Drugs) SS'!$A:$A,0))</f>
        <v>DOBUTAMINE HYDROCHLORIDE IN 5% DEXTROSE INJECTION, 250mg PER 250mL (1,000 mcg/mL) 250mL BAG</v>
      </c>
      <c r="C64" s="50" t="str">
        <f>IF(LEFT(F64,6)="Header","",INDEX('Pricing (Drugs) SS'!$E:$E,MATCH(F64,'Pricing (Drugs) SS'!$A:$A,0)))</f>
        <v>1,000mcg/mL</v>
      </c>
      <c r="D64" s="49" t="str">
        <f>IF(LEFT(F64,6)="header","",INDEX('Pricing (Drugs) SS'!$F:$F,MATCH(F64,'Pricing (Drugs) SS'!$A:$A,0)))</f>
        <v>250mL</v>
      </c>
      <c r="E64" s="51" t="str">
        <f>IF(LEFT(F64,6)="Header","",INDEX('Pricing (Drugs) SS'!$D:$D,MATCH(F64,'Pricing (Drugs) SS'!$A:$A,0)))</f>
        <v>0338-1073-02</v>
      </c>
      <c r="F64" s="119">
        <v>1016380</v>
      </c>
      <c r="G64" s="214" t="str">
        <f>IF(LEFT(F64,6)="Header","",INDEX('Tiered Cart Pricing Formulas'!$N:$N,MATCH(F64,'Tiered Cart Pricing Formulas'!$F:$F,0)))</f>
        <v/>
      </c>
      <c r="H64" s="269"/>
      <c r="I64" s="270"/>
      <c r="J64" s="214" t="str">
        <f>IF(M64="header","",INDEX('Tiered Cart Pricing Formulas'!$N:$N,MATCH(F64,'Tiered Cart Pricing Formulas'!$F:$F,0)))</f>
        <v/>
      </c>
      <c r="K64" s="268" t="str">
        <f>IF(LEFT(F64,6)="header","",INDEX('Tiered Cart Pricing Formulas'!$M:$M,MATCH(F64,'Tiered Cart Pricing Formulas'!$F:$F,0)))</f>
        <v/>
      </c>
      <c r="L64" s="268" cm="1">
        <f t="array" aca="1" ref="L64" ca="1">CELL("protect",A64)</f>
        <v>0</v>
      </c>
      <c r="M64" s="268" t="str">
        <f t="shared" si="0"/>
        <v>101638</v>
      </c>
      <c r="N64" s="268" t="str">
        <f t="shared" ca="1" si="1"/>
        <v>Good</v>
      </c>
      <c r="O64" s="268" t="str">
        <f>IF(M64="header","",INDEX('Tiered Cart Pricing Formulas'!$O:$O,MATCH(F64,'Tiered Cart Pricing Formulas'!$F:$F,0)))</f>
        <v/>
      </c>
    </row>
    <row r="65" spans="1:15" ht="15" customHeight="1" x14ac:dyDescent="0.25">
      <c r="A65" s="48"/>
      <c r="B65" s="49" t="str">
        <f>INDEX('Pricing (Drugs) SS'!$B:$B,MATCH(F65,'Pricing (Drugs) SS'!$A:$A,0))</f>
        <v>DOBUTAMINE IN 5% DEXTROSE INJECTION, USP 500mg 250mL BAG</v>
      </c>
      <c r="C65" s="50" t="str">
        <f>IF(LEFT(F65,6)="Header","",INDEX('Pricing (Drugs) SS'!$E:$E,MATCH(F65,'Pricing (Drugs) SS'!$A:$A,0)))</f>
        <v>2,000mcg/mL</v>
      </c>
      <c r="D65" s="49" t="str">
        <f>IF(LEFT(F65,6)="header","",INDEX('Pricing (Drugs) SS'!$F:$F,MATCH(F65,'Pricing (Drugs) SS'!$A:$A,0)))</f>
        <v>250mL</v>
      </c>
      <c r="E65" s="51" t="str">
        <f>IF(LEFT(F65,6)="Header","",INDEX('Pricing (Drugs) SS'!$D:$D,MATCH(F65,'Pricing (Drugs) SS'!$A:$A,0)))</f>
        <v>0409-2347-32</v>
      </c>
      <c r="F65" s="119">
        <v>1010010</v>
      </c>
      <c r="G65" s="214" t="str">
        <f>IF(LEFT(F65,6)="Header","",INDEX('Tiered Cart Pricing Formulas'!$N:$N,MATCH(F65,'Tiered Cart Pricing Formulas'!$F:$F,0)))</f>
        <v/>
      </c>
      <c r="H65" s="269"/>
      <c r="I65" s="270"/>
      <c r="J65" s="214" t="str">
        <f>IF(M65="header","",INDEX('Tiered Cart Pricing Formulas'!$N:$N,MATCH(F65,'Tiered Cart Pricing Formulas'!$F:$F,0)))</f>
        <v/>
      </c>
      <c r="K65" s="268" t="str">
        <f>IF(LEFT(F65,6)="header","",INDEX('Tiered Cart Pricing Formulas'!$M:$M,MATCH(F65,'Tiered Cart Pricing Formulas'!$F:$F,0)))</f>
        <v/>
      </c>
      <c r="L65" s="268" cm="1">
        <f t="array" aca="1" ref="L65" ca="1">CELL("protect",A65)</f>
        <v>0</v>
      </c>
      <c r="M65" s="268" t="str">
        <f t="shared" si="0"/>
        <v>101001</v>
      </c>
      <c r="N65" s="268" t="str">
        <f t="shared" ca="1" si="1"/>
        <v>Good</v>
      </c>
      <c r="O65" s="268" t="str">
        <f>IF(M65="header","",INDEX('Tiered Cart Pricing Formulas'!$O:$O,MATCH(F65,'Tiered Cart Pricing Formulas'!$F:$F,0)))</f>
        <v/>
      </c>
    </row>
    <row r="66" spans="1:15" ht="15" customHeight="1" x14ac:dyDescent="0.25">
      <c r="A66" s="118"/>
      <c r="B66" s="49" t="str">
        <f>INDEX('Pricing (Drugs) SS'!$B:$B,MATCH(F66,'Pricing (Drugs) SS'!$A:$A,0))</f>
        <v>DOPAMINE</v>
      </c>
      <c r="C66" s="50" t="str">
        <f>IF(LEFT(F66,6)="Header","",INDEX('Pricing (Drugs) SS'!$E:$E,MATCH(F66,'Pricing (Drugs) SS'!$A:$A,0)))</f>
        <v/>
      </c>
      <c r="D66" s="49" t="str">
        <f>IF(LEFT(F66,6)="header","",INDEX('Pricing (Drugs) SS'!$F:$F,MATCH(F66,'Pricing (Drugs) SS'!$A:$A,0)))</f>
        <v/>
      </c>
      <c r="E66" s="51" t="str">
        <f>IF(LEFT(F66,6)="Header","",INDEX('Pricing (Drugs) SS'!$D:$D,MATCH(F66,'Pricing (Drugs) SS'!$A:$A,0)))</f>
        <v/>
      </c>
      <c r="F66" s="119" t="s">
        <v>1554</v>
      </c>
      <c r="G66" s="214" t="str">
        <f>IF(LEFT(F66,6)="Header","",INDEX('Tiered Cart Pricing Formulas'!$N:$N,MATCH(F66,'Tiered Cart Pricing Formulas'!$F:$F,0)))</f>
        <v/>
      </c>
      <c r="H66" s="51"/>
      <c r="I66" s="272"/>
      <c r="J66" s="214" t="str">
        <f>IF(M66="header","",INDEX('Tiered Cart Pricing Formulas'!$N:$N,MATCH(F66,'Tiered Cart Pricing Formulas'!$F:$F,0)))</f>
        <v/>
      </c>
      <c r="K66" s="268" t="str">
        <f>IF(LEFT(F66,6)="header","",INDEX('Tiered Cart Pricing Formulas'!$M:$M,MATCH(F66,'Tiered Cart Pricing Formulas'!$F:$F,0)))</f>
        <v/>
      </c>
      <c r="L66" s="268" cm="1">
        <f t="array" aca="1" ref="L66" ca="1">CELL("protect",A66)</f>
        <v>1</v>
      </c>
      <c r="M66" s="268" t="str">
        <f t="shared" si="0"/>
        <v>HEADER</v>
      </c>
      <c r="N66" s="268" t="str">
        <f t="shared" ca="1" si="1"/>
        <v>Good</v>
      </c>
      <c r="O66" s="268" t="str">
        <f>IF(M66="header","",INDEX('Tiered Cart Pricing Formulas'!$O:$O,MATCH(F66,'Tiered Cart Pricing Formulas'!$F:$F,0)))</f>
        <v/>
      </c>
    </row>
    <row r="67" spans="1:15" ht="15" customHeight="1" x14ac:dyDescent="0.25">
      <c r="A67" s="48"/>
      <c r="B67" s="49" t="str">
        <f>INDEX('Pricing (Drugs) SS'!$B:$B,MATCH(F67,'Pricing (Drugs) SS'!$A:$A,0))</f>
        <v>DOPAMINE HCI INJ., USP 200mg (40 mg/mL) 5mL VIAL</v>
      </c>
      <c r="C67" s="50" t="str">
        <f>IF(LEFT(F67,6)="Header","",INDEX('Pricing (Drugs) SS'!$E:$E,MATCH(F67,'Pricing (Drugs) SS'!$A:$A,0)))</f>
        <v>40mg/mL</v>
      </c>
      <c r="D67" s="49" t="str">
        <f>IF(LEFT(F67,6)="header","",INDEX('Pricing (Drugs) SS'!$F:$F,MATCH(F67,'Pricing (Drugs) SS'!$A:$A,0)))</f>
        <v>5mL</v>
      </c>
      <c r="E67" s="51" t="str">
        <f>IF(LEFT(F67,6)="Header","",INDEX('Pricing (Drugs) SS'!$D:$D,MATCH(F67,'Pricing (Drugs) SS'!$A:$A,0)))</f>
        <v>0409-5820-01</v>
      </c>
      <c r="F67" s="119">
        <v>1007700</v>
      </c>
      <c r="G67" s="214" t="str">
        <f>IF(LEFT(F67,6)="Header","",INDEX('Tiered Cart Pricing Formulas'!$N:$N,MATCH(F67,'Tiered Cart Pricing Formulas'!$F:$F,0)))</f>
        <v/>
      </c>
      <c r="H67" s="269"/>
      <c r="I67" s="270"/>
      <c r="J67" s="214" t="str">
        <f>IF(M67="header","",INDEX('Tiered Cart Pricing Formulas'!$N:$N,MATCH(F67,'Tiered Cart Pricing Formulas'!$F:$F,0)))</f>
        <v/>
      </c>
      <c r="K67" s="268" t="str">
        <f>IF(LEFT(F67,6)="header","",INDEX('Tiered Cart Pricing Formulas'!$M:$M,MATCH(F67,'Tiered Cart Pricing Formulas'!$F:$F,0)))</f>
        <v/>
      </c>
      <c r="L67" s="268" cm="1">
        <f t="array" aca="1" ref="L67" ca="1">CELL("protect",A67)</f>
        <v>0</v>
      </c>
      <c r="M67" s="268" t="str">
        <f t="shared" si="0"/>
        <v>100770</v>
      </c>
      <c r="N67" s="268" t="str">
        <f t="shared" ca="1" si="1"/>
        <v>Good</v>
      </c>
      <c r="O67" s="268" t="str">
        <f>IF(M67="header","",INDEX('Tiered Cart Pricing Formulas'!$O:$O,MATCH(F67,'Tiered Cart Pricing Formulas'!$F:$F,0)))</f>
        <v/>
      </c>
    </row>
    <row r="68" spans="1:15" ht="15" customHeight="1" x14ac:dyDescent="0.25">
      <c r="A68" s="48"/>
      <c r="B68" s="49" t="str">
        <f>INDEX('Pricing (Drugs) SS'!$B:$B,MATCH(F68,'Pricing (Drugs) SS'!$A:$A,0))</f>
        <v>DOPAMINE HCI INJ., USP 400mg (40mg/mL) 10mL VIAL</v>
      </c>
      <c r="C68" s="50" t="str">
        <f>IF(LEFT(F68,6)="Header","",INDEX('Pricing (Drugs) SS'!$E:$E,MATCH(F68,'Pricing (Drugs) SS'!$A:$A,0)))</f>
        <v>40mg/mL</v>
      </c>
      <c r="D68" s="49" t="str">
        <f>IF(LEFT(F68,6)="header","",INDEX('Pricing (Drugs) SS'!$F:$F,MATCH(F68,'Pricing (Drugs) SS'!$A:$A,0)))</f>
        <v>10mL</v>
      </c>
      <c r="E68" s="51" t="str">
        <f>IF(LEFT(F68,6)="Header","",INDEX('Pricing (Drugs) SS'!$D:$D,MATCH(F68,'Pricing (Drugs) SS'!$A:$A,0)))</f>
        <v>0409-9104-20</v>
      </c>
      <c r="F68" s="119">
        <v>1000210</v>
      </c>
      <c r="G68" s="214" t="str">
        <f>IF(LEFT(F68,6)="Header","",INDEX('Tiered Cart Pricing Formulas'!$N:$N,MATCH(F68,'Tiered Cart Pricing Formulas'!$F:$F,0)))</f>
        <v/>
      </c>
      <c r="H68" s="269"/>
      <c r="I68" s="270"/>
      <c r="J68" s="214" t="str">
        <f>IF(M68="header","",INDEX('Tiered Cart Pricing Formulas'!$N:$N,MATCH(F68,'Tiered Cart Pricing Formulas'!$F:$F,0)))</f>
        <v/>
      </c>
      <c r="K68" s="268" t="str">
        <f>IF(LEFT(F68,6)="header","",INDEX('Tiered Cart Pricing Formulas'!$M:$M,MATCH(F68,'Tiered Cart Pricing Formulas'!$F:$F,0)))</f>
        <v/>
      </c>
      <c r="L68" s="268" cm="1">
        <f t="array" aca="1" ref="L68" ca="1">CELL("protect",A68)</f>
        <v>0</v>
      </c>
      <c r="M68" s="268" t="str">
        <f t="shared" si="0"/>
        <v>100021</v>
      </c>
      <c r="N68" s="268" t="str">
        <f t="shared" ca="1" si="1"/>
        <v>Good</v>
      </c>
      <c r="O68" s="268" t="str">
        <f>IF(M68="header","",INDEX('Tiered Cart Pricing Formulas'!$O:$O,MATCH(F68,'Tiered Cart Pricing Formulas'!$F:$F,0)))</f>
        <v/>
      </c>
    </row>
    <row r="69" spans="1:15" ht="15" customHeight="1" x14ac:dyDescent="0.25">
      <c r="A69" s="48"/>
      <c r="B69" s="49" t="str">
        <f>INDEX('Pricing (Drugs) SS'!$B:$B,MATCH(F69,'Pricing (Drugs) SS'!$A:$A,0))</f>
        <v>DOPAMINE HYDROCHLORIDE INJECTION, USP 400mg/10mL (40mg/mL) 10mL VIAL</v>
      </c>
      <c r="C69" s="50" t="str">
        <f>IF(LEFT(F69,6)="Header","",INDEX('Pricing (Drugs) SS'!$E:$E,MATCH(F69,'Pricing (Drugs) SS'!$A:$A,0)))</f>
        <v>40mg/mL</v>
      </c>
      <c r="D69" s="49" t="str">
        <f>IF(LEFT(F69,6)="header","",INDEX('Pricing (Drugs) SS'!$F:$F,MATCH(F69,'Pricing (Drugs) SS'!$A:$A,0)))</f>
        <v>10mL</v>
      </c>
      <c r="E69" s="51" t="str">
        <f>IF(LEFT(F69,6)="Header","",INDEX('Pricing (Drugs) SS'!$D:$D,MATCH(F69,'Pricing (Drugs) SS'!$A:$A,0)))</f>
        <v>0143-9254-25</v>
      </c>
      <c r="F69" s="119">
        <v>1013490</v>
      </c>
      <c r="G69" s="214" t="str">
        <f>IF(LEFT(F69,6)="Header","",INDEX('Tiered Cart Pricing Formulas'!$N:$N,MATCH(F69,'Tiered Cart Pricing Formulas'!$F:$F,0)))</f>
        <v/>
      </c>
      <c r="H69" s="269"/>
      <c r="I69" s="270"/>
      <c r="J69" s="214" t="str">
        <f>IF(M69="header","",INDEX('Tiered Cart Pricing Formulas'!$N:$N,MATCH(F69,'Tiered Cart Pricing Formulas'!$F:$F,0)))</f>
        <v/>
      </c>
      <c r="K69" s="268" t="str">
        <f>IF(LEFT(F69,6)="header","",INDEX('Tiered Cart Pricing Formulas'!$M:$M,MATCH(F69,'Tiered Cart Pricing Formulas'!$F:$F,0)))</f>
        <v/>
      </c>
      <c r="L69" s="268" cm="1">
        <f t="array" aca="1" ref="L69" ca="1">CELL("protect",A69)</f>
        <v>0</v>
      </c>
      <c r="M69" s="268" t="str">
        <f t="shared" si="0"/>
        <v>101349</v>
      </c>
      <c r="N69" s="268" t="str">
        <f t="shared" ca="1" si="1"/>
        <v>Good</v>
      </c>
      <c r="O69" s="268" t="str">
        <f>IF(M69="header","",INDEX('Tiered Cart Pricing Formulas'!$O:$O,MATCH(F69,'Tiered Cart Pricing Formulas'!$F:$F,0)))</f>
        <v/>
      </c>
    </row>
    <row r="70" spans="1:15" ht="15" customHeight="1" x14ac:dyDescent="0.25">
      <c r="A70" s="48"/>
      <c r="B70" s="49" t="str">
        <f>INDEX('Pricing (Drugs) SS'!$B:$B,MATCH(F70,'Pricing (Drugs) SS'!$A:$A,0))</f>
        <v>DOPAMINE HYDROCHLORIDE IN 5% DEXTROSE INJECTION, USP 400mg 250mL BAG</v>
      </c>
      <c r="C70" s="50" t="str">
        <f>IF(LEFT(F70,6)="Header","",INDEX('Pricing (Drugs) SS'!$E:$E,MATCH(F70,'Pricing (Drugs) SS'!$A:$A,0)))</f>
        <v>400mg</v>
      </c>
      <c r="D70" s="49" t="str">
        <f>IF(LEFT(F70,6)="header","",INDEX('Pricing (Drugs) SS'!$F:$F,MATCH(F70,'Pricing (Drugs) SS'!$A:$A,0)))</f>
        <v>250mL</v>
      </c>
      <c r="E70" s="51" t="str">
        <f>IF(LEFT(F70,6)="Header","",INDEX('Pricing (Drugs) SS'!$D:$D,MATCH(F70,'Pricing (Drugs) SS'!$A:$A,0)))</f>
        <v>0409-7809-22</v>
      </c>
      <c r="F70" s="119">
        <v>1009740</v>
      </c>
      <c r="G70" s="214" t="str">
        <f>IF(LEFT(F70,6)="Header","",INDEX('Tiered Cart Pricing Formulas'!$N:$N,MATCH(F70,'Tiered Cart Pricing Formulas'!$F:$F,0)))</f>
        <v/>
      </c>
      <c r="H70" s="269"/>
      <c r="I70" s="270"/>
      <c r="J70" s="214" t="str">
        <f>IF(M70="header","",INDEX('Tiered Cart Pricing Formulas'!$N:$N,MATCH(F70,'Tiered Cart Pricing Formulas'!$F:$F,0)))</f>
        <v/>
      </c>
      <c r="K70" s="268" t="str">
        <f>IF(LEFT(F70,6)="header","",INDEX('Tiered Cart Pricing Formulas'!$M:$M,MATCH(F70,'Tiered Cart Pricing Formulas'!$F:$F,0)))</f>
        <v/>
      </c>
      <c r="L70" s="268" cm="1">
        <f t="array" aca="1" ref="L70" ca="1">CELL("protect",A70)</f>
        <v>0</v>
      </c>
      <c r="M70" s="268" t="str">
        <f t="shared" si="0"/>
        <v>100974</v>
      </c>
      <c r="N70" s="268" t="str">
        <f t="shared" ca="1" si="1"/>
        <v>Good</v>
      </c>
      <c r="O70" s="268" t="str">
        <f>IF(M70="header","",INDEX('Tiered Cart Pricing Formulas'!$O:$O,MATCH(F70,'Tiered Cart Pricing Formulas'!$F:$F,0)))</f>
        <v/>
      </c>
    </row>
    <row r="71" spans="1:15" ht="15" customHeight="1" x14ac:dyDescent="0.25">
      <c r="A71" s="48"/>
      <c r="B71" s="49" t="str">
        <f>INDEX('Pricing (Drugs) SS'!$B:$B,MATCH(F71,'Pricing (Drugs) SS'!$A:$A,0))</f>
        <v>DOPAMINE HCI IN 5% DEXTROSE INJECTION, USP 800mg/500mL (1,600mcg/mL) 500mL BAG</v>
      </c>
      <c r="C71" s="50" t="str">
        <f>IF(LEFT(F71,6)="Header","",INDEX('Pricing (Drugs) SS'!$E:$E,MATCH(F71,'Pricing (Drugs) SS'!$A:$A,0)))</f>
        <v>1600mcg/mL</v>
      </c>
      <c r="D71" s="49" t="str">
        <f>IF(LEFT(F71,6)="header","",INDEX('Pricing (Drugs) SS'!$F:$F,MATCH(F71,'Pricing (Drugs) SS'!$A:$A,0)))</f>
        <v>500mL</v>
      </c>
      <c r="E71" s="51" t="str">
        <f>IF(LEFT(F71,6)="Header","",INDEX('Pricing (Drugs) SS'!$D:$D,MATCH(F71,'Pricing (Drugs) SS'!$A:$A,0)))</f>
        <v>0409-7809-24</v>
      </c>
      <c r="F71" s="119">
        <v>1012780</v>
      </c>
      <c r="G71" s="214" t="str">
        <f>IF(LEFT(F71,6)="Header","",INDEX('Tiered Cart Pricing Formulas'!$N:$N,MATCH(F71,'Tiered Cart Pricing Formulas'!$F:$F,0)))</f>
        <v/>
      </c>
      <c r="H71" s="269"/>
      <c r="I71" s="270"/>
      <c r="J71" s="214" t="str">
        <f>IF(M71="header","",INDEX('Tiered Cart Pricing Formulas'!$N:$N,MATCH(F71,'Tiered Cart Pricing Formulas'!$F:$F,0)))</f>
        <v/>
      </c>
      <c r="K71" s="268" t="str">
        <f>IF(LEFT(F71,6)="header","",INDEX('Tiered Cart Pricing Formulas'!$M:$M,MATCH(F71,'Tiered Cart Pricing Formulas'!$F:$F,0)))</f>
        <v/>
      </c>
      <c r="L71" s="268" cm="1">
        <f t="array" aca="1" ref="L71" ca="1">CELL("protect",A71)</f>
        <v>0</v>
      </c>
      <c r="M71" s="268" t="str">
        <f t="shared" si="0"/>
        <v>101278</v>
      </c>
      <c r="N71" s="268" t="str">
        <f t="shared" ca="1" si="1"/>
        <v>Good</v>
      </c>
      <c r="O71" s="268" t="str">
        <f>IF(M71="header","",INDEX('Tiered Cart Pricing Formulas'!$O:$O,MATCH(F71,'Tiered Cart Pricing Formulas'!$F:$F,0)))</f>
        <v/>
      </c>
    </row>
    <row r="72" spans="1:15" ht="15" customHeight="1" x14ac:dyDescent="0.25">
      <c r="A72" s="118"/>
      <c r="B72" s="49" t="str">
        <f>INDEX('Pricing (Drugs) SS'!$B:$B,MATCH(F72,'Pricing (Drugs) SS'!$A:$A,0))</f>
        <v>DOXYCYCLINE</v>
      </c>
      <c r="C72" s="50" t="str">
        <f>IF(LEFT(F72,6)="Header","",INDEX('Pricing (Drugs) SS'!$E:$E,MATCH(F72,'Pricing (Drugs) SS'!$A:$A,0)))</f>
        <v/>
      </c>
      <c r="D72" s="49" t="str">
        <f>IF(LEFT(F72,6)="header","",INDEX('Pricing (Drugs) SS'!$F:$F,MATCH(F72,'Pricing (Drugs) SS'!$A:$A,0)))</f>
        <v/>
      </c>
      <c r="E72" s="51" t="str">
        <f>IF(LEFT(F72,6)="Header","",INDEX('Pricing (Drugs) SS'!$D:$D,MATCH(F72,'Pricing (Drugs) SS'!$A:$A,0)))</f>
        <v/>
      </c>
      <c r="F72" s="119" t="s">
        <v>1555</v>
      </c>
      <c r="G72" s="214" t="str">
        <f>IF(LEFT(F72,6)="Header","",INDEX('Tiered Cart Pricing Formulas'!$N:$N,MATCH(F72,'Tiered Cart Pricing Formulas'!$F:$F,0)))</f>
        <v/>
      </c>
      <c r="H72" s="51"/>
      <c r="I72" s="272"/>
      <c r="J72" s="214" t="str">
        <f>IF(M72="header","",INDEX('Tiered Cart Pricing Formulas'!$N:$N,MATCH(F72,'Tiered Cart Pricing Formulas'!$F:$F,0)))</f>
        <v/>
      </c>
      <c r="K72" s="268" t="str">
        <f>IF(LEFT(F72,6)="header","",INDEX('Tiered Cart Pricing Formulas'!$M:$M,MATCH(F72,'Tiered Cart Pricing Formulas'!$F:$F,0)))</f>
        <v/>
      </c>
      <c r="L72" s="268" cm="1">
        <f t="array" aca="1" ref="L72" ca="1">CELL("protect",A72)</f>
        <v>1</v>
      </c>
      <c r="M72" s="268" t="str">
        <f t="shared" si="0"/>
        <v>HEADER</v>
      </c>
      <c r="N72" s="268" t="str">
        <f t="shared" ca="1" si="1"/>
        <v>Good</v>
      </c>
      <c r="O72" s="268" t="str">
        <f>IF(M72="header","",INDEX('Tiered Cart Pricing Formulas'!$O:$O,MATCH(F72,'Tiered Cart Pricing Formulas'!$F:$F,0)))</f>
        <v/>
      </c>
    </row>
    <row r="73" spans="1:15" ht="15" customHeight="1" x14ac:dyDescent="0.25">
      <c r="A73" s="48"/>
      <c r="B73" s="49" t="str">
        <f>INDEX('Pricing (Drugs) SS'!$B:$B,MATCH(F73,'Pricing (Drugs) SS'!$A:$A,0))</f>
        <v>DOXY 100™ DOXYCYCLINE FOR INJECTION, USP 100mg per VIAL 20mL VIAL</v>
      </c>
      <c r="C73" s="50" t="str">
        <f>IF(LEFT(F73,6)="Header","",INDEX('Pricing (Drugs) SS'!$E:$E,MATCH(F73,'Pricing (Drugs) SS'!$A:$A,0)))</f>
        <v>100mg</v>
      </c>
      <c r="D73" s="49" t="str">
        <f>IF(LEFT(F73,6)="header","",INDEX('Pricing (Drugs) SS'!$F:$F,MATCH(F73,'Pricing (Drugs) SS'!$A:$A,0)))</f>
        <v>20mL</v>
      </c>
      <c r="E73" s="51" t="str">
        <f>IF(LEFT(F73,6)="Header","",INDEX('Pricing (Drugs) SS'!$D:$D,MATCH(F73,'Pricing (Drugs) SS'!$A:$A,0)))</f>
        <v>63323-130-11</v>
      </c>
      <c r="F73" s="119">
        <v>1011980</v>
      </c>
      <c r="G73" s="214" t="str">
        <f>IF(LEFT(F73,6)="Header","",INDEX('Tiered Cart Pricing Formulas'!$N:$N,MATCH(F73,'Tiered Cart Pricing Formulas'!$F:$F,0)))</f>
        <v/>
      </c>
      <c r="H73" s="269"/>
      <c r="I73" s="270"/>
      <c r="J73" s="214" t="str">
        <f>IF(M73="header","",INDEX('Tiered Cart Pricing Formulas'!$N:$N,MATCH(F73,'Tiered Cart Pricing Formulas'!$F:$F,0)))</f>
        <v/>
      </c>
      <c r="K73" s="268" t="str">
        <f>IF(LEFT(F73,6)="header","",INDEX('Tiered Cart Pricing Formulas'!$M:$M,MATCH(F73,'Tiered Cart Pricing Formulas'!$F:$F,0)))</f>
        <v/>
      </c>
      <c r="L73" s="268" cm="1">
        <f t="array" aca="1" ref="L73" ca="1">CELL("protect",A73)</f>
        <v>0</v>
      </c>
      <c r="M73" s="268" t="str">
        <f t="shared" si="0"/>
        <v>101198</v>
      </c>
      <c r="N73" s="268" t="str">
        <f t="shared" ca="1" si="1"/>
        <v>Good</v>
      </c>
      <c r="O73" s="268" t="str">
        <f>IF(M73="header","",INDEX('Tiered Cart Pricing Formulas'!$O:$O,MATCH(F73,'Tiered Cart Pricing Formulas'!$F:$F,0)))</f>
        <v/>
      </c>
    </row>
    <row r="74" spans="1:15" ht="15" customHeight="1" x14ac:dyDescent="0.25">
      <c r="A74" s="118"/>
      <c r="B74" s="49" t="str">
        <f>INDEX('Pricing (Drugs) SS'!$B:$B,MATCH(F74,'Pricing (Drugs) SS'!$A:$A,0))</f>
        <v>ENALAPRILAT</v>
      </c>
      <c r="C74" s="50" t="str">
        <f>IF(LEFT(F74,6)="Header","",INDEX('Pricing (Drugs) SS'!$E:$E,MATCH(F74,'Pricing (Drugs) SS'!$A:$A,0)))</f>
        <v/>
      </c>
      <c r="D74" s="49" t="str">
        <f>IF(LEFT(F74,6)="header","",INDEX('Pricing (Drugs) SS'!$F:$F,MATCH(F74,'Pricing (Drugs) SS'!$A:$A,0)))</f>
        <v/>
      </c>
      <c r="E74" s="51" t="str">
        <f>IF(LEFT(F74,6)="Header","",INDEX('Pricing (Drugs) SS'!$D:$D,MATCH(F74,'Pricing (Drugs) SS'!$A:$A,0)))</f>
        <v/>
      </c>
      <c r="F74" s="119" t="s">
        <v>1556</v>
      </c>
      <c r="G74" s="214" t="str">
        <f>IF(LEFT(F74,6)="Header","",INDEX('Tiered Cart Pricing Formulas'!$N:$N,MATCH(F74,'Tiered Cart Pricing Formulas'!$F:$F,0)))</f>
        <v/>
      </c>
      <c r="H74" s="51"/>
      <c r="I74" s="272"/>
      <c r="J74" s="214" t="str">
        <f>IF(M74="header","",INDEX('Tiered Cart Pricing Formulas'!$N:$N,MATCH(F74,'Tiered Cart Pricing Formulas'!$F:$F,0)))</f>
        <v/>
      </c>
      <c r="K74" s="268" t="str">
        <f>IF(LEFT(F74,6)="header","",INDEX('Tiered Cart Pricing Formulas'!$M:$M,MATCH(F74,'Tiered Cart Pricing Formulas'!$F:$F,0)))</f>
        <v/>
      </c>
      <c r="L74" s="268" cm="1">
        <f t="array" aca="1" ref="L74" ca="1">CELL("protect",A74)</f>
        <v>1</v>
      </c>
      <c r="M74" s="268" t="str">
        <f t="shared" si="0"/>
        <v>HEADER</v>
      </c>
      <c r="N74" s="268" t="str">
        <f t="shared" ca="1" si="1"/>
        <v>Good</v>
      </c>
      <c r="O74" s="268" t="str">
        <f>IF(M74="header","",INDEX('Tiered Cart Pricing Formulas'!$O:$O,MATCH(F74,'Tiered Cart Pricing Formulas'!$F:$F,0)))</f>
        <v/>
      </c>
    </row>
    <row r="75" spans="1:15" ht="15" customHeight="1" x14ac:dyDescent="0.25">
      <c r="A75" s="48"/>
      <c r="B75" s="49" t="str">
        <f>INDEX('Pricing (Drugs) SS'!$B:$B,MATCH(F75,'Pricing (Drugs) SS'!$A:$A,0))</f>
        <v>ENALAPRILAT INJECTION 1.25mg/mL 1mL VIAL</v>
      </c>
      <c r="C75" s="50" t="str">
        <f>IF(LEFT(F75,6)="Header","",INDEX('Pricing (Drugs) SS'!$E:$E,MATCH(F75,'Pricing (Drugs) SS'!$A:$A,0)))</f>
        <v>1.25mg/mL</v>
      </c>
      <c r="D75" s="49" t="str">
        <f>IF(LEFT(F75,6)="header","",INDEX('Pricing (Drugs) SS'!$F:$F,MATCH(F75,'Pricing (Drugs) SS'!$A:$A,0)))</f>
        <v>1mL</v>
      </c>
      <c r="E75" s="51" t="str">
        <f>IF(LEFT(F75,6)="Header","",INDEX('Pricing (Drugs) SS'!$D:$D,MATCH(F75,'Pricing (Drugs) SS'!$A:$A,0)))</f>
        <v>0143-9787-10</v>
      </c>
      <c r="F75" s="119">
        <v>1012970</v>
      </c>
      <c r="G75" s="214" t="str">
        <f>IF(LEFT(F75,6)="Header","",INDEX('Tiered Cart Pricing Formulas'!$N:$N,MATCH(F75,'Tiered Cart Pricing Formulas'!$F:$F,0)))</f>
        <v/>
      </c>
      <c r="H75" s="269"/>
      <c r="I75" s="270"/>
      <c r="J75" s="214" t="str">
        <f>IF(M75="header","",INDEX('Tiered Cart Pricing Formulas'!$N:$N,MATCH(F75,'Tiered Cart Pricing Formulas'!$F:$F,0)))</f>
        <v/>
      </c>
      <c r="K75" s="268" t="str">
        <f>IF(LEFT(F75,6)="header","",INDEX('Tiered Cart Pricing Formulas'!$M:$M,MATCH(F75,'Tiered Cart Pricing Formulas'!$F:$F,0)))</f>
        <v/>
      </c>
      <c r="L75" s="268" cm="1">
        <f t="array" aca="1" ref="L75" ca="1">CELL("protect",A75)</f>
        <v>0</v>
      </c>
      <c r="M75" s="268" t="str">
        <f t="shared" si="0"/>
        <v>101297</v>
      </c>
      <c r="N75" s="268" t="str">
        <f t="shared" ca="1" si="1"/>
        <v>Good</v>
      </c>
      <c r="O75" s="268" t="str">
        <f>IF(M75="header","",INDEX('Tiered Cart Pricing Formulas'!$O:$O,MATCH(F75,'Tiered Cart Pricing Formulas'!$F:$F,0)))</f>
        <v/>
      </c>
    </row>
    <row r="76" spans="1:15" ht="15" customHeight="1" x14ac:dyDescent="0.25">
      <c r="A76" s="118"/>
      <c r="B76" s="49" t="str">
        <f>INDEX('Pricing (Drugs) SS'!$B:$B,MATCH(F76,'Pricing (Drugs) SS'!$A:$A,0))</f>
        <v>EPHEDRINE</v>
      </c>
      <c r="C76" s="50" t="str">
        <f>IF(LEFT(F76,6)="Header","",INDEX('Pricing (Drugs) SS'!$E:$E,MATCH(F76,'Pricing (Drugs) SS'!$A:$A,0)))</f>
        <v/>
      </c>
      <c r="D76" s="49" t="str">
        <f>IF(LEFT(F76,6)="header","",INDEX('Pricing (Drugs) SS'!$F:$F,MATCH(F76,'Pricing (Drugs) SS'!$A:$A,0)))</f>
        <v/>
      </c>
      <c r="E76" s="51" t="str">
        <f>IF(LEFT(F76,6)="Header","",INDEX('Pricing (Drugs) SS'!$D:$D,MATCH(F76,'Pricing (Drugs) SS'!$A:$A,0)))</f>
        <v/>
      </c>
      <c r="F76" s="119" t="s">
        <v>1557</v>
      </c>
      <c r="G76" s="214" t="str">
        <f>IF(LEFT(F76,6)="Header","",INDEX('Tiered Cart Pricing Formulas'!$N:$N,MATCH(F76,'Tiered Cart Pricing Formulas'!$F:$F,0)))</f>
        <v/>
      </c>
      <c r="H76" s="51"/>
      <c r="I76" s="272"/>
      <c r="J76" s="214" t="str">
        <f>IF(M76="header","",INDEX('Tiered Cart Pricing Formulas'!$N:$N,MATCH(F76,'Tiered Cart Pricing Formulas'!$F:$F,0)))</f>
        <v/>
      </c>
      <c r="K76" s="268" t="str">
        <f>IF(LEFT(F76,6)="header","",INDEX('Tiered Cart Pricing Formulas'!$M:$M,MATCH(F76,'Tiered Cart Pricing Formulas'!$F:$F,0)))</f>
        <v/>
      </c>
      <c r="L76" s="268" cm="1">
        <f t="array" aca="1" ref="L76" ca="1">CELL("protect",A76)</f>
        <v>1</v>
      </c>
      <c r="M76" s="268" t="str">
        <f t="shared" ref="M76:M139" si="2">LEFT(F76,6)</f>
        <v>HEADER</v>
      </c>
      <c r="N76" s="268" t="str">
        <f t="shared" ca="1" si="1"/>
        <v>Good</v>
      </c>
      <c r="O76" s="268" t="str">
        <f>IF(M76="header","",INDEX('Tiered Cart Pricing Formulas'!$O:$O,MATCH(F76,'Tiered Cart Pricing Formulas'!$F:$F,0)))</f>
        <v/>
      </c>
    </row>
    <row r="77" spans="1:15" ht="15" customHeight="1" x14ac:dyDescent="0.25">
      <c r="A77" s="48"/>
      <c r="B77" s="49" t="str">
        <f>INDEX('Pricing (Drugs) SS'!$B:$B,MATCH(F77,'Pricing (Drugs) SS'!$A:$A,0))</f>
        <v>EPHEDRINE SULFATE INJECTIONS, USP 50 mg/mL 1mL VIAL</v>
      </c>
      <c r="C77" s="50" t="str">
        <f>IF(LEFT(F77,6)="Header","",INDEX('Pricing (Drugs) SS'!$E:$E,MATCH(F77,'Pricing (Drugs) SS'!$A:$A,0)))</f>
        <v>50 mg/mL</v>
      </c>
      <c r="D77" s="49" t="str">
        <f>IF(LEFT(F77,6)="header","",INDEX('Pricing (Drugs) SS'!$F:$F,MATCH(F77,'Pricing (Drugs) SS'!$A:$A,0)))</f>
        <v>1mL</v>
      </c>
      <c r="E77" s="51" t="str">
        <f>IF(LEFT(F77,6)="Header","",INDEX('Pricing (Drugs) SS'!$D:$D,MATCH(F77,'Pricing (Drugs) SS'!$A:$A,0)))</f>
        <v>42023-216-25</v>
      </c>
      <c r="F77" s="119">
        <v>1009960</v>
      </c>
      <c r="G77" s="214" t="str">
        <f>IF(LEFT(F77,6)="Header","",INDEX('Tiered Cart Pricing Formulas'!$N:$N,MATCH(F77,'Tiered Cart Pricing Formulas'!$F:$F,0)))</f>
        <v>X</v>
      </c>
      <c r="H77" s="269"/>
      <c r="I77" s="270"/>
      <c r="J77" s="214" t="str">
        <f>IF(M77="header","",INDEX('Tiered Cart Pricing Formulas'!$N:$N,MATCH(F77,'Tiered Cart Pricing Formulas'!$F:$F,0)))</f>
        <v>X</v>
      </c>
      <c r="K77" s="268" t="str">
        <f>IF(LEFT(F77,6)="header","",INDEX('Tiered Cart Pricing Formulas'!$M:$M,MATCH(F77,'Tiered Cart Pricing Formulas'!$F:$F,0)))</f>
        <v/>
      </c>
      <c r="L77" s="268" cm="1">
        <f t="array" aca="1" ref="L77" ca="1">CELL("protect",A77)</f>
        <v>0</v>
      </c>
      <c r="M77" s="268" t="str">
        <f t="shared" si="2"/>
        <v>100996</v>
      </c>
      <c r="N77" s="268" t="str">
        <f t="shared" ref="N77:N140" ca="1" si="3">IF(AND(L77=1,M77="header"),"Good",IF(AND(M77&lt;&gt;"Header",L77=0),"Good","Bad"))</f>
        <v>Good</v>
      </c>
      <c r="O77" s="268" t="str">
        <f>IF(M77="header","",INDEX('Tiered Cart Pricing Formulas'!$O:$O,MATCH(F77,'Tiered Cart Pricing Formulas'!$F:$F,0)))</f>
        <v>X</v>
      </c>
    </row>
    <row r="78" spans="1:15" ht="15" customHeight="1" x14ac:dyDescent="0.25">
      <c r="A78" s="118"/>
      <c r="B78" s="49" t="str">
        <f>INDEX('Pricing (Drugs) SS'!$B:$B,MATCH(F78,'Pricing (Drugs) SS'!$A:$A,0))</f>
        <v>EPINEPHRINE</v>
      </c>
      <c r="C78" s="50" t="str">
        <f>IF(LEFT(F78,6)="Header","",INDEX('Pricing (Drugs) SS'!$E:$E,MATCH(F78,'Pricing (Drugs) SS'!$A:$A,0)))</f>
        <v/>
      </c>
      <c r="D78" s="49" t="str">
        <f>IF(LEFT(F78,6)="header","",INDEX('Pricing (Drugs) SS'!$F:$F,MATCH(F78,'Pricing (Drugs) SS'!$A:$A,0)))</f>
        <v/>
      </c>
      <c r="E78" s="51" t="str">
        <f>IF(LEFT(F78,6)="Header","",INDEX('Pricing (Drugs) SS'!$D:$D,MATCH(F78,'Pricing (Drugs) SS'!$A:$A,0)))</f>
        <v/>
      </c>
      <c r="F78" s="119" t="s">
        <v>1558</v>
      </c>
      <c r="G78" s="214" t="str">
        <f>IF(LEFT(F78,6)="Header","",INDEX('Tiered Cart Pricing Formulas'!$N:$N,MATCH(F78,'Tiered Cart Pricing Formulas'!$F:$F,0)))</f>
        <v/>
      </c>
      <c r="H78" s="51"/>
      <c r="I78" s="272"/>
      <c r="J78" s="214" t="str">
        <f>IF(M78="header","",INDEX('Tiered Cart Pricing Formulas'!$N:$N,MATCH(F78,'Tiered Cart Pricing Formulas'!$F:$F,0)))</f>
        <v/>
      </c>
      <c r="K78" s="268" t="str">
        <f>IF(LEFT(F78,6)="header","",INDEX('Tiered Cart Pricing Formulas'!$M:$M,MATCH(F78,'Tiered Cart Pricing Formulas'!$F:$F,0)))</f>
        <v/>
      </c>
      <c r="L78" s="268" cm="1">
        <f t="array" aca="1" ref="L78" ca="1">CELL("protect",A78)</f>
        <v>1</v>
      </c>
      <c r="M78" s="268" t="str">
        <f t="shared" si="2"/>
        <v>HEADER</v>
      </c>
      <c r="N78" s="268" t="str">
        <f t="shared" ca="1" si="3"/>
        <v>Good</v>
      </c>
      <c r="O78" s="268" t="str">
        <f>IF(M78="header","",INDEX('Tiered Cart Pricing Formulas'!$O:$O,MATCH(F78,'Tiered Cart Pricing Formulas'!$F:$F,0)))</f>
        <v/>
      </c>
    </row>
    <row r="79" spans="1:15" ht="15" customHeight="1" x14ac:dyDescent="0.25">
      <c r="A79" s="48"/>
      <c r="B79" s="49" t="str">
        <f>INDEX('Pricing (Drugs) SS'!$B:$B,MATCH(F79,'Pricing (Drugs) SS'!$A:$A,0))</f>
        <v>AUVI-Q® EPINEPHRINE INJECTION, USP 0.15mg AUTO INJECTOR</v>
      </c>
      <c r="C79" s="50" t="str">
        <f>IF(LEFT(F79,6)="Header","",INDEX('Pricing (Drugs) SS'!$E:$E,MATCH(F79,'Pricing (Drugs) SS'!$A:$A,0)))</f>
        <v>.15mg/.15mL</v>
      </c>
      <c r="D79" s="49" t="str">
        <f>IF(LEFT(F79,6)="header","",INDEX('Pricing (Drugs) SS'!$F:$F,MATCH(F79,'Pricing (Drugs) SS'!$A:$A,0)))</f>
        <v>0.76mL</v>
      </c>
      <c r="E79" s="51" t="str">
        <f>IF(LEFT(F79,6)="Header","",INDEX('Pricing (Drugs) SS'!$D:$D,MATCH(F79,'Pricing (Drugs) SS'!$A:$A,0)))</f>
        <v>60842-022-02</v>
      </c>
      <c r="F79" s="119">
        <v>1023450</v>
      </c>
      <c r="G79" s="214" t="str">
        <f>IF(LEFT(F79,6)="Header","",INDEX('Tiered Cart Pricing Formulas'!$N:$N,MATCH(F79,'Tiered Cart Pricing Formulas'!$F:$F,0)))</f>
        <v/>
      </c>
      <c r="H79" s="269"/>
      <c r="I79" s="270"/>
      <c r="J79" s="214" t="str">
        <f>IF(M79="header","",INDEX('Tiered Cart Pricing Formulas'!$N:$N,MATCH(F79,'Tiered Cart Pricing Formulas'!$F:$F,0)))</f>
        <v/>
      </c>
      <c r="K79" s="268" t="str">
        <f>IF(LEFT(F79,6)="header","",INDEX('Tiered Cart Pricing Formulas'!$M:$M,MATCH(F79,'Tiered Cart Pricing Formulas'!$F:$F,0)))</f>
        <v/>
      </c>
      <c r="L79" s="268" cm="1">
        <f t="array" aca="1" ref="L79" ca="1">CELL("protect",A79)</f>
        <v>0</v>
      </c>
      <c r="M79" s="268" t="str">
        <f t="shared" si="2"/>
        <v>102345</v>
      </c>
      <c r="N79" s="268" t="str">
        <f t="shared" ca="1" si="3"/>
        <v>Good</v>
      </c>
      <c r="O79" s="268" t="str">
        <f>IF(M79="header","",INDEX('Tiered Cart Pricing Formulas'!$O:$O,MATCH(F79,'Tiered Cart Pricing Formulas'!$F:$F,0)))</f>
        <v/>
      </c>
    </row>
    <row r="80" spans="1:15" ht="15" customHeight="1" x14ac:dyDescent="0.25">
      <c r="A80" s="48"/>
      <c r="B80" s="49" t="str">
        <f>INDEX('Pricing (Drugs) SS'!$B:$B,MATCH(F80,'Pricing (Drugs) SS'!$A:$A,0))</f>
        <v>AUVI-Q® EPINEPHRINE INJECTION, USP 0.3mg AUTO INJECTOR</v>
      </c>
      <c r="C80" s="50" t="str">
        <f>IF(LEFT(F80,6)="Header","",INDEX('Pricing (Drugs) SS'!$E:$E,MATCH(F80,'Pricing (Drugs) SS'!$A:$A,0)))</f>
        <v>.3mg/.3mL</v>
      </c>
      <c r="D80" s="49" t="str">
        <f>IF(LEFT(F80,6)="header","",INDEX('Pricing (Drugs) SS'!$F:$F,MATCH(F80,'Pricing (Drugs) SS'!$A:$A,0)))</f>
        <v>0.76mL</v>
      </c>
      <c r="E80" s="51" t="str">
        <f>IF(LEFT(F80,6)="Header","",INDEX('Pricing (Drugs) SS'!$D:$D,MATCH(F80,'Pricing (Drugs) SS'!$A:$A,0)))</f>
        <v>60842-023-02</v>
      </c>
      <c r="F80" s="119">
        <v>1023460</v>
      </c>
      <c r="G80" s="214" t="str">
        <f>IF(LEFT(F80,6)="Header","",INDEX('Tiered Cart Pricing Formulas'!$N:$N,MATCH(F80,'Tiered Cart Pricing Formulas'!$F:$F,0)))</f>
        <v/>
      </c>
      <c r="H80" s="269"/>
      <c r="I80" s="270"/>
      <c r="J80" s="214" t="str">
        <f>IF(M80="header","",INDEX('Tiered Cart Pricing Formulas'!$N:$N,MATCH(F80,'Tiered Cart Pricing Formulas'!$F:$F,0)))</f>
        <v/>
      </c>
      <c r="K80" s="268" t="str">
        <f>IF(LEFT(F80,6)="header","",INDEX('Tiered Cart Pricing Formulas'!$M:$M,MATCH(F80,'Tiered Cart Pricing Formulas'!$F:$F,0)))</f>
        <v/>
      </c>
      <c r="L80" s="268" cm="1">
        <f t="array" aca="1" ref="L80" ca="1">CELL("protect",A80)</f>
        <v>0</v>
      </c>
      <c r="M80" s="268" t="str">
        <f t="shared" si="2"/>
        <v>102346</v>
      </c>
      <c r="N80" s="268" t="str">
        <f t="shared" ca="1" si="3"/>
        <v>Good</v>
      </c>
      <c r="O80" s="268" t="str">
        <f>IF(M80="header","",INDEX('Tiered Cart Pricing Formulas'!$O:$O,MATCH(F80,'Tiered Cart Pricing Formulas'!$F:$F,0)))</f>
        <v/>
      </c>
    </row>
    <row r="81" spans="1:15" ht="15" customHeight="1" x14ac:dyDescent="0.25">
      <c r="A81" s="48"/>
      <c r="B81" s="49" t="str">
        <f>INDEX('Pricing (Drugs) SS'!$B:$B,MATCH(F81,'Pricing (Drugs) SS'!$A:$A,0))</f>
        <v>ADRENALIN® (EPINEPHRINE INJECTION, USP) 1mg/mL 1:1000 VIAL</v>
      </c>
      <c r="C81" s="50" t="str">
        <f>IF(LEFT(F81,6)="Header","",INDEX('Pricing (Drugs) SS'!$E:$E,MATCH(F81,'Pricing (Drugs) SS'!$A:$A,0)))</f>
        <v>1mg/mL 1:1000</v>
      </c>
      <c r="D81" s="49" t="str">
        <f>IF(LEFT(F81,6)="header","",INDEX('Pricing (Drugs) SS'!$F:$F,MATCH(F81,'Pricing (Drugs) SS'!$A:$A,0)))</f>
        <v>1mL</v>
      </c>
      <c r="E81" s="51" t="str">
        <f>IF(LEFT(F81,6)="Header","",INDEX('Pricing (Drugs) SS'!$D:$D,MATCH(F81,'Pricing (Drugs) SS'!$A:$A,0)))</f>
        <v>42023-159-25</v>
      </c>
      <c r="F81" s="119">
        <v>1007670</v>
      </c>
      <c r="G81" s="214" t="str">
        <f>IF(LEFT(F81,6)="Header","",INDEX('Tiered Cart Pricing Formulas'!$N:$N,MATCH(F81,'Tiered Cart Pricing Formulas'!$F:$F,0)))</f>
        <v/>
      </c>
      <c r="H81" s="269"/>
      <c r="I81" s="270"/>
      <c r="J81" s="214" t="str">
        <f>IF(M81="header","",INDEX('Tiered Cart Pricing Formulas'!$N:$N,MATCH(F81,'Tiered Cart Pricing Formulas'!$F:$F,0)))</f>
        <v/>
      </c>
      <c r="K81" s="268" t="str">
        <f>IF(LEFT(F81,6)="header","",INDEX('Tiered Cart Pricing Formulas'!$M:$M,MATCH(F81,'Tiered Cart Pricing Formulas'!$F:$F,0)))</f>
        <v/>
      </c>
      <c r="L81" s="268" cm="1">
        <f t="array" aca="1" ref="L81" ca="1">CELL("protect",A81)</f>
        <v>0</v>
      </c>
      <c r="M81" s="268" t="str">
        <f t="shared" si="2"/>
        <v>100767</v>
      </c>
      <c r="N81" s="268" t="str">
        <f t="shared" ca="1" si="3"/>
        <v>Good</v>
      </c>
      <c r="O81" s="268" t="str">
        <f>IF(M81="header","",INDEX('Tiered Cart Pricing Formulas'!$O:$O,MATCH(F81,'Tiered Cart Pricing Formulas'!$F:$F,0)))</f>
        <v/>
      </c>
    </row>
    <row r="82" spans="1:15" ht="15" customHeight="1" x14ac:dyDescent="0.25">
      <c r="A82" s="48"/>
      <c r="B82" s="49" t="str">
        <f>INDEX('Pricing (Drugs) SS'!$B:$B,MATCH(F82,'Pricing (Drugs) SS'!$A:$A,0))</f>
        <v>EPINEPHRINE INJ. USP, 0.1 mg/mL 1mg per 10mL LUER-JET™ SYR</v>
      </c>
      <c r="C82" s="50" t="str">
        <f>IF(LEFT(F82,6)="Header","",INDEX('Pricing (Drugs) SS'!$E:$E,MATCH(F82,'Pricing (Drugs) SS'!$A:$A,0)))</f>
        <v>0.1 mg/mL</v>
      </c>
      <c r="D82" s="49" t="str">
        <f>IF(LEFT(F82,6)="header","",INDEX('Pricing (Drugs) SS'!$F:$F,MATCH(F82,'Pricing (Drugs) SS'!$A:$A,0)))</f>
        <v>10 mL</v>
      </c>
      <c r="E82" s="51" t="str">
        <f>IF(LEFT(F82,6)="Header","",INDEX('Pricing (Drugs) SS'!$D:$D,MATCH(F82,'Pricing (Drugs) SS'!$A:$A,0)))</f>
        <v>76329-3318-1</v>
      </c>
      <c r="F82" s="119">
        <v>1020440</v>
      </c>
      <c r="G82" s="214" t="str">
        <f>IF(LEFT(F82,6)="Header","",INDEX('Tiered Cart Pricing Formulas'!$N:$N,MATCH(F82,'Tiered Cart Pricing Formulas'!$F:$F,0)))</f>
        <v/>
      </c>
      <c r="H82" s="269"/>
      <c r="I82" s="270"/>
      <c r="J82" s="214" t="str">
        <f>IF(M82="header","",INDEX('Tiered Cart Pricing Formulas'!$N:$N,MATCH(F82,'Tiered Cart Pricing Formulas'!$F:$F,0)))</f>
        <v/>
      </c>
      <c r="K82" s="268" t="str">
        <f>IF(LEFT(F82,6)="header","",INDEX('Tiered Cart Pricing Formulas'!$M:$M,MATCH(F82,'Tiered Cart Pricing Formulas'!$F:$F,0)))</f>
        <v/>
      </c>
      <c r="L82" s="268" cm="1">
        <f t="array" aca="1" ref="L82" ca="1">CELL("protect",A82)</f>
        <v>0</v>
      </c>
      <c r="M82" s="268" t="str">
        <f t="shared" si="2"/>
        <v>102044</v>
      </c>
      <c r="N82" s="268" t="str">
        <f t="shared" ca="1" si="3"/>
        <v>Good</v>
      </c>
      <c r="O82" s="268" t="str">
        <f>IF(M82="header","",INDEX('Tiered Cart Pricing Formulas'!$O:$O,MATCH(F82,'Tiered Cart Pricing Formulas'!$F:$F,0)))</f>
        <v/>
      </c>
    </row>
    <row r="83" spans="1:15" ht="15" customHeight="1" x14ac:dyDescent="0.25">
      <c r="A83" s="118"/>
      <c r="B83" s="49" t="str">
        <f>INDEX('Pricing (Drugs) SS'!$B:$B,MATCH(F83,'Pricing (Drugs) SS'!$A:$A,0))</f>
        <v>ETOMIDATE/AMIDATE</v>
      </c>
      <c r="C83" s="50" t="str">
        <f>IF(LEFT(F83,6)="Header","",INDEX('Pricing (Drugs) SS'!$E:$E,MATCH(F83,'Pricing (Drugs) SS'!$A:$A,0)))</f>
        <v/>
      </c>
      <c r="D83" s="49" t="str">
        <f>IF(LEFT(F83,6)="header","",INDEX('Pricing (Drugs) SS'!$F:$F,MATCH(F83,'Pricing (Drugs) SS'!$A:$A,0)))</f>
        <v/>
      </c>
      <c r="E83" s="51" t="str">
        <f>IF(LEFT(F83,6)="Header","",INDEX('Pricing (Drugs) SS'!$D:$D,MATCH(F83,'Pricing (Drugs) SS'!$A:$A,0)))</f>
        <v/>
      </c>
      <c r="F83" s="119" t="s">
        <v>1559</v>
      </c>
      <c r="G83" s="214" t="str">
        <f>IF(LEFT(F83,6)="Header","",INDEX('Tiered Cart Pricing Formulas'!$N:$N,MATCH(F83,'Tiered Cart Pricing Formulas'!$F:$F,0)))</f>
        <v/>
      </c>
      <c r="H83" s="51"/>
      <c r="I83" s="272"/>
      <c r="J83" s="214" t="str">
        <f>IF(M83="header","",INDEX('Tiered Cart Pricing Formulas'!$N:$N,MATCH(F83,'Tiered Cart Pricing Formulas'!$F:$F,0)))</f>
        <v/>
      </c>
      <c r="K83" s="268" t="str">
        <f>IF(LEFT(F83,6)="header","",INDEX('Tiered Cart Pricing Formulas'!$M:$M,MATCH(F83,'Tiered Cart Pricing Formulas'!$F:$F,0)))</f>
        <v/>
      </c>
      <c r="L83" s="268" cm="1">
        <f t="array" aca="1" ref="L83" ca="1">CELL("protect",A83)</f>
        <v>1</v>
      </c>
      <c r="M83" s="268" t="str">
        <f t="shared" si="2"/>
        <v>HEADER</v>
      </c>
      <c r="N83" s="268" t="str">
        <f t="shared" ca="1" si="3"/>
        <v>Good</v>
      </c>
      <c r="O83" s="268" t="str">
        <f>IF(M83="header","",INDEX('Tiered Cart Pricing Formulas'!$O:$O,MATCH(F83,'Tiered Cart Pricing Formulas'!$F:$F,0)))</f>
        <v/>
      </c>
    </row>
    <row r="84" spans="1:15" ht="15" customHeight="1" x14ac:dyDescent="0.25">
      <c r="A84" s="48"/>
      <c r="B84" s="49" t="str">
        <f>INDEX('Pricing (Drugs) SS'!$B:$B,MATCH(F84,'Pricing (Drugs) SS'!$A:$A,0))</f>
        <v>ETOMIDATE INJECTION USP, 20mg/10mL (2mg/mL) 10mL VIAL</v>
      </c>
      <c r="C84" s="50" t="str">
        <f>IF(LEFT(F84,6)="Header","",INDEX('Pricing (Drugs) SS'!$E:$E,MATCH(F84,'Pricing (Drugs) SS'!$A:$A,0)))</f>
        <v>20mg/10mL</v>
      </c>
      <c r="D84" s="49" t="str">
        <f>IF(LEFT(F84,6)="header","",INDEX('Pricing (Drugs) SS'!$F:$F,MATCH(F84,'Pricing (Drugs) SS'!$A:$A,0)))</f>
        <v>10mL</v>
      </c>
      <c r="E84" s="51" t="str">
        <f>IF(LEFT(F84,6)="Header","",INDEX('Pricing (Drugs) SS'!$D:$D,MATCH(F84,'Pricing (Drugs) SS'!$A:$A,0)))</f>
        <v>55150-221-10</v>
      </c>
      <c r="F84" s="119">
        <v>1020560</v>
      </c>
      <c r="G84" s="214" t="str">
        <f>IF(LEFT(F84,6)="Header","",INDEX('Tiered Cart Pricing Formulas'!$N:$N,MATCH(F84,'Tiered Cart Pricing Formulas'!$F:$F,0)))</f>
        <v>X</v>
      </c>
      <c r="H84" s="269"/>
      <c r="I84" s="270"/>
      <c r="J84" s="214" t="str">
        <f>IF(M84="header","",INDEX('Tiered Cart Pricing Formulas'!$N:$N,MATCH(F84,'Tiered Cart Pricing Formulas'!$F:$F,0)))</f>
        <v>X</v>
      </c>
      <c r="K84" s="268" t="str">
        <f>IF(LEFT(F84,6)="header","",INDEX('Tiered Cart Pricing Formulas'!$M:$M,MATCH(F84,'Tiered Cart Pricing Formulas'!$F:$F,0)))</f>
        <v/>
      </c>
      <c r="L84" s="268" cm="1">
        <f t="array" aca="1" ref="L84" ca="1">CELL("protect",A84)</f>
        <v>0</v>
      </c>
      <c r="M84" s="268" t="str">
        <f t="shared" si="2"/>
        <v>102056</v>
      </c>
      <c r="N84" s="268" t="str">
        <f t="shared" ca="1" si="3"/>
        <v>Good</v>
      </c>
      <c r="O84" s="268" t="str">
        <f>IF(M84="header","",INDEX('Tiered Cart Pricing Formulas'!$O:$O,MATCH(F84,'Tiered Cart Pricing Formulas'!$F:$F,0)))</f>
        <v/>
      </c>
    </row>
    <row r="85" spans="1:15" ht="15" customHeight="1" x14ac:dyDescent="0.25">
      <c r="A85" s="48"/>
      <c r="B85" s="49" t="str">
        <f>INDEX('Pricing (Drugs) SS'!$B:$B,MATCH(F85,'Pricing (Drugs) SS'!$A:$A,0))</f>
        <v>ETOMIDATE INJECTION, USP 40mg PER 20mL (2mg/mL) 20mL VIAL</v>
      </c>
      <c r="C85" s="50" t="str">
        <f>IF(LEFT(F85,6)="Header","",INDEX('Pricing (Drugs) SS'!$E:$E,MATCH(F85,'Pricing (Drugs) SS'!$A:$A,0)))</f>
        <v>2mg/mL</v>
      </c>
      <c r="D85" s="49" t="str">
        <f>IF(LEFT(F85,6)="header","",INDEX('Pricing (Drugs) SS'!$F:$F,MATCH(F85,'Pricing (Drugs) SS'!$A:$A,0)))</f>
        <v>20mL</v>
      </c>
      <c r="E85" s="51" t="str">
        <f>IF(LEFT(F85,6)="Header","",INDEX('Pricing (Drugs) SS'!$D:$D,MATCH(F85,'Pricing (Drugs) SS'!$A:$A,0)))</f>
        <v>55150-222-20</v>
      </c>
      <c r="F85" s="119">
        <v>1016160</v>
      </c>
      <c r="G85" s="214" t="str">
        <f>IF(LEFT(F85,6)="Header","",INDEX('Tiered Cart Pricing Formulas'!$N:$N,MATCH(F85,'Tiered Cart Pricing Formulas'!$F:$F,0)))</f>
        <v>X</v>
      </c>
      <c r="H85" s="269"/>
      <c r="I85" s="270"/>
      <c r="J85" s="214" t="str">
        <f>IF(M85="header","",INDEX('Tiered Cart Pricing Formulas'!$N:$N,MATCH(F85,'Tiered Cart Pricing Formulas'!$F:$F,0)))</f>
        <v>X</v>
      </c>
      <c r="K85" s="268" t="str">
        <f>IF(LEFT(F85,6)="header","",INDEX('Tiered Cart Pricing Formulas'!$M:$M,MATCH(F85,'Tiered Cart Pricing Formulas'!$F:$F,0)))</f>
        <v/>
      </c>
      <c r="L85" s="268" cm="1">
        <f t="array" aca="1" ref="L85" ca="1">CELL("protect",A85)</f>
        <v>0</v>
      </c>
      <c r="M85" s="268" t="str">
        <f t="shared" si="2"/>
        <v>101616</v>
      </c>
      <c r="N85" s="268" t="str">
        <f t="shared" ca="1" si="3"/>
        <v>Good</v>
      </c>
      <c r="O85" s="268" t="str">
        <f>IF(M85="header","",INDEX('Tiered Cart Pricing Formulas'!$O:$O,MATCH(F85,'Tiered Cart Pricing Formulas'!$F:$F,0)))</f>
        <v/>
      </c>
    </row>
    <row r="86" spans="1:15" ht="15" customHeight="1" x14ac:dyDescent="0.25">
      <c r="A86" s="118"/>
      <c r="B86" s="49" t="str">
        <f>INDEX('Pricing (Drugs) SS'!$B:$B,MATCH(F86,'Pricing (Drugs) SS'!$A:$A,0))</f>
        <v>FAMOTIDINE</v>
      </c>
      <c r="C86" s="50" t="str">
        <f>IF(LEFT(F86,6)="Header","",INDEX('Pricing (Drugs) SS'!$E:$E,MATCH(F86,'Pricing (Drugs) SS'!$A:$A,0)))</f>
        <v/>
      </c>
      <c r="D86" s="49" t="str">
        <f>IF(LEFT(F86,6)="header","",INDEX('Pricing (Drugs) SS'!$F:$F,MATCH(F86,'Pricing (Drugs) SS'!$A:$A,0)))</f>
        <v/>
      </c>
      <c r="E86" s="51" t="str">
        <f>IF(LEFT(F86,6)="Header","",INDEX('Pricing (Drugs) SS'!$D:$D,MATCH(F86,'Pricing (Drugs) SS'!$A:$A,0)))</f>
        <v/>
      </c>
      <c r="F86" s="119" t="s">
        <v>1560</v>
      </c>
      <c r="G86" s="214" t="str">
        <f>IF(LEFT(F86,6)="Header","",INDEX('Tiered Cart Pricing Formulas'!$N:$N,MATCH(F86,'Tiered Cart Pricing Formulas'!$F:$F,0)))</f>
        <v/>
      </c>
      <c r="H86" s="51"/>
      <c r="I86" s="272"/>
      <c r="J86" s="214" t="str">
        <f>IF(M86="header","",INDEX('Tiered Cart Pricing Formulas'!$N:$N,MATCH(F86,'Tiered Cart Pricing Formulas'!$F:$F,0)))</f>
        <v/>
      </c>
      <c r="K86" s="268" t="str">
        <f>IF(LEFT(F86,6)="header","",INDEX('Tiered Cart Pricing Formulas'!$M:$M,MATCH(F86,'Tiered Cart Pricing Formulas'!$F:$F,0)))</f>
        <v/>
      </c>
      <c r="L86" s="268" cm="1">
        <f t="array" aca="1" ref="L86" ca="1">CELL("protect",A86)</f>
        <v>1</v>
      </c>
      <c r="M86" s="268" t="str">
        <f t="shared" si="2"/>
        <v>HEADER</v>
      </c>
      <c r="N86" s="268" t="str">
        <f t="shared" ca="1" si="3"/>
        <v>Good</v>
      </c>
      <c r="O86" s="268" t="str">
        <f>IF(M86="header","",INDEX('Tiered Cart Pricing Formulas'!$O:$O,MATCH(F86,'Tiered Cart Pricing Formulas'!$F:$F,0)))</f>
        <v/>
      </c>
    </row>
    <row r="87" spans="1:15" ht="15" customHeight="1" x14ac:dyDescent="0.25">
      <c r="A87" s="48"/>
      <c r="B87" s="49" t="str">
        <f>INDEX('Pricing (Drugs) SS'!$B:$B,MATCH(F87,'Pricing (Drugs) SS'!$A:$A,0))</f>
        <v>FAMOTIDINE INJECTION, USP 20 mg/2mL 2mL VIAL</v>
      </c>
      <c r="C87" s="50" t="str">
        <f>IF(LEFT(F87,6)="Header","",INDEX('Pricing (Drugs) SS'!$E:$E,MATCH(F87,'Pricing (Drugs) SS'!$A:$A,0)))</f>
        <v>10mg/mL</v>
      </c>
      <c r="D87" s="49" t="str">
        <f>IF(LEFT(F87,6)="header","",INDEX('Pricing (Drugs) SS'!$F:$F,MATCH(F87,'Pricing (Drugs) SS'!$A:$A,0)))</f>
        <v>2mL</v>
      </c>
      <c r="E87" s="51" t="str">
        <f>IF(LEFT(F87,6)="Header","",INDEX('Pricing (Drugs) SS'!$D:$D,MATCH(F87,'Pricing (Drugs) SS'!$A:$A,0)))</f>
        <v>63323-739-12</v>
      </c>
      <c r="F87" s="119">
        <v>1012230</v>
      </c>
      <c r="G87" s="214" t="str">
        <f>IF(LEFT(F87,6)="Header","",INDEX('Tiered Cart Pricing Formulas'!$N:$N,MATCH(F87,'Tiered Cart Pricing Formulas'!$F:$F,0)))</f>
        <v/>
      </c>
      <c r="H87" s="269"/>
      <c r="I87" s="270"/>
      <c r="J87" s="214" t="str">
        <f>IF(M87="header","",INDEX('Tiered Cart Pricing Formulas'!$N:$N,MATCH(F87,'Tiered Cart Pricing Formulas'!$F:$F,0)))</f>
        <v/>
      </c>
      <c r="K87" s="268" t="str">
        <f>IF(LEFT(F87,6)="header","",INDEX('Tiered Cart Pricing Formulas'!$M:$M,MATCH(F87,'Tiered Cart Pricing Formulas'!$F:$F,0)))</f>
        <v>C</v>
      </c>
      <c r="L87" s="268" cm="1">
        <f t="array" aca="1" ref="L87" ca="1">CELL("protect",A87)</f>
        <v>0</v>
      </c>
      <c r="M87" s="268" t="str">
        <f t="shared" si="2"/>
        <v>101223</v>
      </c>
      <c r="N87" s="268" t="str">
        <f t="shared" ca="1" si="3"/>
        <v>Good</v>
      </c>
      <c r="O87" s="268" t="str">
        <f>IF(M87="header","",INDEX('Tiered Cart Pricing Formulas'!$O:$O,MATCH(F87,'Tiered Cart Pricing Formulas'!$F:$F,0)))</f>
        <v/>
      </c>
    </row>
    <row r="88" spans="1:15" ht="15" customHeight="1" x14ac:dyDescent="0.25">
      <c r="A88" s="118"/>
      <c r="B88" s="49" t="str">
        <f>INDEX('Pricing (Drugs) SS'!$B:$B,MATCH(F88,'Pricing (Drugs) SS'!$A:$A,0))</f>
        <v>FLUMAZENIL/ROMAZICON</v>
      </c>
      <c r="C88" s="50" t="str">
        <f>IF(LEFT(F88,6)="Header","",INDEX('Pricing (Drugs) SS'!$E:$E,MATCH(F88,'Pricing (Drugs) SS'!$A:$A,0)))</f>
        <v/>
      </c>
      <c r="D88" s="49" t="str">
        <f>IF(LEFT(F88,6)="header","",INDEX('Pricing (Drugs) SS'!$F:$F,MATCH(F88,'Pricing (Drugs) SS'!$A:$A,0)))</f>
        <v/>
      </c>
      <c r="E88" s="51" t="str">
        <f>IF(LEFT(F88,6)="Header","",INDEX('Pricing (Drugs) SS'!$D:$D,MATCH(F88,'Pricing (Drugs) SS'!$A:$A,0)))</f>
        <v/>
      </c>
      <c r="F88" s="119" t="s">
        <v>1561</v>
      </c>
      <c r="G88" s="214" t="str">
        <f>IF(LEFT(F88,6)="Header","",INDEX('Tiered Cart Pricing Formulas'!$N:$N,MATCH(F88,'Tiered Cart Pricing Formulas'!$F:$F,0)))</f>
        <v/>
      </c>
      <c r="H88" s="51"/>
      <c r="I88" s="272"/>
      <c r="J88" s="214" t="str">
        <f>IF(M88="header","",INDEX('Tiered Cart Pricing Formulas'!$N:$N,MATCH(F88,'Tiered Cart Pricing Formulas'!$F:$F,0)))</f>
        <v/>
      </c>
      <c r="K88" s="268" t="str">
        <f>IF(LEFT(F88,6)="header","",INDEX('Tiered Cart Pricing Formulas'!$M:$M,MATCH(F88,'Tiered Cart Pricing Formulas'!$F:$F,0)))</f>
        <v/>
      </c>
      <c r="L88" s="268" cm="1">
        <f t="array" aca="1" ref="L88" ca="1">CELL("protect",A88)</f>
        <v>1</v>
      </c>
      <c r="M88" s="268" t="str">
        <f t="shared" si="2"/>
        <v>HEADER</v>
      </c>
      <c r="N88" s="268" t="str">
        <f t="shared" ca="1" si="3"/>
        <v>Good</v>
      </c>
      <c r="O88" s="268" t="str">
        <f>IF(M88="header","",INDEX('Tiered Cart Pricing Formulas'!$O:$O,MATCH(F88,'Tiered Cart Pricing Formulas'!$F:$F,0)))</f>
        <v/>
      </c>
    </row>
    <row r="89" spans="1:15" ht="15" customHeight="1" x14ac:dyDescent="0.25">
      <c r="A89" s="48"/>
      <c r="B89" s="49" t="str">
        <f>INDEX('Pricing (Drugs) SS'!$B:$B,MATCH(F89,'Pricing (Drugs) SS'!$A:$A,0))</f>
        <v>FLUMAZENIL INJECTION, USP 0.5mg/5mL (0.1mg/mL) VIAL</v>
      </c>
      <c r="C89" s="50" t="str">
        <f>IF(LEFT(F89,6)="Header","",INDEX('Pricing (Drugs) SS'!$E:$E,MATCH(F89,'Pricing (Drugs) SS'!$A:$A,0)))</f>
        <v>0.1mg/mL</v>
      </c>
      <c r="D89" s="49" t="str">
        <f>IF(LEFT(F89,6)="header","",INDEX('Pricing (Drugs) SS'!$F:$F,MATCH(F89,'Pricing (Drugs) SS'!$A:$A,0)))</f>
        <v>5mL</v>
      </c>
      <c r="E89" s="51" t="str">
        <f>IF(LEFT(F89,6)="Header","",INDEX('Pricing (Drugs) SS'!$D:$D,MATCH(F89,'Pricing (Drugs) SS'!$A:$A,0)))</f>
        <v>0143-9784-10</v>
      </c>
      <c r="F89" s="119">
        <v>1000570</v>
      </c>
      <c r="G89" s="214" t="str">
        <f>IF(LEFT(F89,6)="Header","",INDEX('Tiered Cart Pricing Formulas'!$N:$N,MATCH(F89,'Tiered Cart Pricing Formulas'!$F:$F,0)))</f>
        <v/>
      </c>
      <c r="H89" s="269"/>
      <c r="I89" s="270"/>
      <c r="J89" s="214" t="str">
        <f>IF(M89="header","",INDEX('Tiered Cart Pricing Formulas'!$N:$N,MATCH(F89,'Tiered Cart Pricing Formulas'!$F:$F,0)))</f>
        <v/>
      </c>
      <c r="K89" s="268" t="str">
        <f>IF(LEFT(F89,6)="header","",INDEX('Tiered Cart Pricing Formulas'!$M:$M,MATCH(F89,'Tiered Cart Pricing Formulas'!$F:$F,0)))</f>
        <v/>
      </c>
      <c r="L89" s="268" cm="1">
        <f t="array" aca="1" ref="L89" ca="1">CELL("protect",A89)</f>
        <v>0</v>
      </c>
      <c r="M89" s="268" t="str">
        <f t="shared" si="2"/>
        <v>100057</v>
      </c>
      <c r="N89" s="268" t="str">
        <f t="shared" ca="1" si="3"/>
        <v>Good</v>
      </c>
      <c r="O89" s="268" t="str">
        <f>IF(M89="header","",INDEX('Tiered Cart Pricing Formulas'!$O:$O,MATCH(F89,'Tiered Cart Pricing Formulas'!$F:$F,0)))</f>
        <v/>
      </c>
    </row>
    <row r="90" spans="1:15" ht="15" customHeight="1" x14ac:dyDescent="0.25">
      <c r="A90" s="48"/>
      <c r="B90" s="49" t="str">
        <f>INDEX('Pricing (Drugs) SS'!$B:$B,MATCH(F90,'Pricing (Drugs) SS'!$A:$A,0))</f>
        <v>FLUMAZENIL INJECTION, USP 1mg/10mL (0.1 mg/mL) VIAL</v>
      </c>
      <c r="C90" s="50" t="str">
        <f>IF(LEFT(F90,6)="Header","",INDEX('Pricing (Drugs) SS'!$E:$E,MATCH(F90,'Pricing (Drugs) SS'!$A:$A,0)))</f>
        <v>0.1 mg/mL</v>
      </c>
      <c r="D90" s="49" t="str">
        <f>IF(LEFT(F90,6)="header","",INDEX('Pricing (Drugs) SS'!$F:$F,MATCH(F90,'Pricing (Drugs) SS'!$A:$A,0)))</f>
        <v>10mL</v>
      </c>
      <c r="E90" s="51" t="str">
        <f>IF(LEFT(F90,6)="Header","",INDEX('Pricing (Drugs) SS'!$D:$D,MATCH(F90,'Pricing (Drugs) SS'!$A:$A,0)))</f>
        <v>0143-9783-10</v>
      </c>
      <c r="F90" s="119">
        <v>1000560</v>
      </c>
      <c r="G90" s="214" t="str">
        <f>IF(LEFT(F90,6)="Header","",INDEX('Tiered Cart Pricing Formulas'!$N:$N,MATCH(F90,'Tiered Cart Pricing Formulas'!$F:$F,0)))</f>
        <v/>
      </c>
      <c r="H90" s="269"/>
      <c r="I90" s="270"/>
      <c r="J90" s="214" t="str">
        <f>IF(M90="header","",INDEX('Tiered Cart Pricing Formulas'!$N:$N,MATCH(F90,'Tiered Cart Pricing Formulas'!$F:$F,0)))</f>
        <v/>
      </c>
      <c r="K90" s="268" t="str">
        <f>IF(LEFT(F90,6)="header","",INDEX('Tiered Cart Pricing Formulas'!$M:$M,MATCH(F90,'Tiered Cart Pricing Formulas'!$F:$F,0)))</f>
        <v/>
      </c>
      <c r="L90" s="268" cm="1">
        <f t="array" aca="1" ref="L90" ca="1">CELL("protect",A90)</f>
        <v>0</v>
      </c>
      <c r="M90" s="268" t="str">
        <f t="shared" si="2"/>
        <v>100056</v>
      </c>
      <c r="N90" s="268" t="str">
        <f t="shared" ca="1" si="3"/>
        <v>Good</v>
      </c>
      <c r="O90" s="268" t="str">
        <f>IF(M90="header","",INDEX('Tiered Cart Pricing Formulas'!$O:$O,MATCH(F90,'Tiered Cart Pricing Formulas'!$F:$F,0)))</f>
        <v/>
      </c>
    </row>
    <row r="91" spans="1:15" ht="15" customHeight="1" x14ac:dyDescent="0.25">
      <c r="A91" s="118"/>
      <c r="B91" s="49" t="str">
        <f>INDEX('Pricing (Drugs) SS'!$B:$B,MATCH(F91,'Pricing (Drugs) SS'!$A:$A,0))</f>
        <v>FUROSEMIDE/LASIX</v>
      </c>
      <c r="C91" s="50" t="str">
        <f>IF(LEFT(F91,6)="Header","",INDEX('Pricing (Drugs) SS'!$E:$E,MATCH(F91,'Pricing (Drugs) SS'!$A:$A,0)))</f>
        <v/>
      </c>
      <c r="D91" s="49" t="str">
        <f>IF(LEFT(F91,6)="header","",INDEX('Pricing (Drugs) SS'!$F:$F,MATCH(F91,'Pricing (Drugs) SS'!$A:$A,0)))</f>
        <v/>
      </c>
      <c r="E91" s="51" t="str">
        <f>IF(LEFT(F91,6)="Header","",INDEX('Pricing (Drugs) SS'!$D:$D,MATCH(F91,'Pricing (Drugs) SS'!$A:$A,0)))</f>
        <v/>
      </c>
      <c r="F91" s="119" t="s">
        <v>1562</v>
      </c>
      <c r="G91" s="214" t="str">
        <f>IF(LEFT(F91,6)="Header","",INDEX('Tiered Cart Pricing Formulas'!$N:$N,MATCH(F91,'Tiered Cart Pricing Formulas'!$F:$F,0)))</f>
        <v/>
      </c>
      <c r="H91" s="51"/>
      <c r="I91" s="272"/>
      <c r="J91" s="214" t="str">
        <f>IF(M91="header","",INDEX('Tiered Cart Pricing Formulas'!$N:$N,MATCH(F91,'Tiered Cart Pricing Formulas'!$F:$F,0)))</f>
        <v/>
      </c>
      <c r="K91" s="268" t="str">
        <f>IF(LEFT(F91,6)="header","",INDEX('Tiered Cart Pricing Formulas'!$M:$M,MATCH(F91,'Tiered Cart Pricing Formulas'!$F:$F,0)))</f>
        <v/>
      </c>
      <c r="L91" s="268" cm="1">
        <f t="array" aca="1" ref="L91" ca="1">CELL("protect",A91)</f>
        <v>1</v>
      </c>
      <c r="M91" s="268" t="str">
        <f t="shared" si="2"/>
        <v>HEADER</v>
      </c>
      <c r="N91" s="268" t="str">
        <f t="shared" ca="1" si="3"/>
        <v>Good</v>
      </c>
      <c r="O91" s="268" t="str">
        <f>IF(M91="header","",INDEX('Tiered Cart Pricing Formulas'!$O:$O,MATCH(F91,'Tiered Cart Pricing Formulas'!$F:$F,0)))</f>
        <v/>
      </c>
    </row>
    <row r="92" spans="1:15" ht="15" customHeight="1" x14ac:dyDescent="0.25">
      <c r="A92" s="48"/>
      <c r="B92" s="49" t="str">
        <f>INDEX('Pricing (Drugs) SS'!$B:$B,MATCH(F92,'Pricing (Drugs) SS'!$A:$A,0))</f>
        <v>FUROSEMIDE INJECTION, USP 20mg PER 2mL (10mg PER mL) 2mL VIAL</v>
      </c>
      <c r="C92" s="50" t="str">
        <f>IF(LEFT(F92,6)="Header","",INDEX('Pricing (Drugs) SS'!$E:$E,MATCH(F92,'Pricing (Drugs) SS'!$A:$A,0)))</f>
        <v>10mg/mL</v>
      </c>
      <c r="D92" s="49" t="str">
        <f>IF(LEFT(F92,6)="header","",INDEX('Pricing (Drugs) SS'!$F:$F,MATCH(F92,'Pricing (Drugs) SS'!$A:$A,0)))</f>
        <v>2mL</v>
      </c>
      <c r="E92" s="51" t="str">
        <f>IF(LEFT(F92,6)="Header","",INDEX('Pricing (Drugs) SS'!$D:$D,MATCH(F92,'Pricing (Drugs) SS'!$A:$A,0)))</f>
        <v>63323-280-02</v>
      </c>
      <c r="F92" s="119">
        <v>1016580</v>
      </c>
      <c r="G92" s="214" t="str">
        <f>IF(LEFT(F92,6)="Header","",INDEX('Tiered Cart Pricing Formulas'!$N:$N,MATCH(F92,'Tiered Cart Pricing Formulas'!$F:$F,0)))</f>
        <v/>
      </c>
      <c r="H92" s="269"/>
      <c r="I92" s="270"/>
      <c r="J92" s="214" t="str">
        <f>IF(M92="header","",INDEX('Tiered Cart Pricing Formulas'!$N:$N,MATCH(F92,'Tiered Cart Pricing Formulas'!$F:$F,0)))</f>
        <v/>
      </c>
      <c r="K92" s="268" t="str">
        <f>IF(LEFT(F92,6)="header","",INDEX('Tiered Cart Pricing Formulas'!$M:$M,MATCH(F92,'Tiered Cart Pricing Formulas'!$F:$F,0)))</f>
        <v/>
      </c>
      <c r="L92" s="268" cm="1">
        <f t="array" aca="1" ref="L92" ca="1">CELL("protect",A92)</f>
        <v>0</v>
      </c>
      <c r="M92" s="268" t="str">
        <f t="shared" si="2"/>
        <v>101658</v>
      </c>
      <c r="N92" s="268" t="str">
        <f t="shared" ca="1" si="3"/>
        <v>Good</v>
      </c>
      <c r="O92" s="268" t="str">
        <f>IF(M92="header","",INDEX('Tiered Cart Pricing Formulas'!$O:$O,MATCH(F92,'Tiered Cart Pricing Formulas'!$F:$F,0)))</f>
        <v/>
      </c>
    </row>
    <row r="93" spans="1:15" ht="15.75" x14ac:dyDescent="0.25">
      <c r="A93" s="48"/>
      <c r="B93" s="49" t="str">
        <f>INDEX('Pricing (Drugs) SS'!$B:$B,MATCH(F93,'Pricing (Drugs) SS'!$A:$A,0))</f>
        <v>FUROSEMIDE INJECTION, USP 40mg PER 4mL (10mg PER mL) 4mL VIAL</v>
      </c>
      <c r="C93" s="50" t="str">
        <f>IF(LEFT(F93,6)="Header","",INDEX('Pricing (Drugs) SS'!$E:$E,MATCH(F93,'Pricing (Drugs) SS'!$A:$A,0)))</f>
        <v>10mg/mL</v>
      </c>
      <c r="D93" s="49" t="str">
        <f>IF(LEFT(F93,6)="header","",INDEX('Pricing (Drugs) SS'!$F:$F,MATCH(F93,'Pricing (Drugs) SS'!$A:$A,0)))</f>
        <v>4mL</v>
      </c>
      <c r="E93" s="51" t="str">
        <f>IF(LEFT(F93,6)="Header","",INDEX('Pricing (Drugs) SS'!$D:$D,MATCH(F93,'Pricing (Drugs) SS'!$A:$A,0)))</f>
        <v>63323-280-04</v>
      </c>
      <c r="F93" s="119">
        <v>1016590</v>
      </c>
      <c r="G93" s="214" t="str">
        <f>IF(LEFT(F93,6)="Header","",INDEX('Tiered Cart Pricing Formulas'!$N:$N,MATCH(F93,'Tiered Cart Pricing Formulas'!$F:$F,0)))</f>
        <v/>
      </c>
      <c r="H93" s="269"/>
      <c r="I93" s="270"/>
      <c r="J93" s="214" t="str">
        <f>IF(M93="header","",INDEX('Tiered Cart Pricing Formulas'!$N:$N,MATCH(F93,'Tiered Cart Pricing Formulas'!$F:$F,0)))</f>
        <v/>
      </c>
      <c r="K93" s="268" t="str">
        <f>IF(LEFT(F93,6)="header","",INDEX('Tiered Cart Pricing Formulas'!$M:$M,MATCH(F93,'Tiered Cart Pricing Formulas'!$F:$F,0)))</f>
        <v/>
      </c>
      <c r="L93" s="268" cm="1">
        <f t="array" aca="1" ref="L93" ca="1">CELL("protect",A93)</f>
        <v>0</v>
      </c>
      <c r="M93" s="268" t="str">
        <f t="shared" si="2"/>
        <v>101659</v>
      </c>
      <c r="N93" s="268" t="str">
        <f t="shared" ca="1" si="3"/>
        <v>Good</v>
      </c>
      <c r="O93" s="268" t="str">
        <f>IF(M93="header","",INDEX('Tiered Cart Pricing Formulas'!$O:$O,MATCH(F93,'Tiered Cart Pricing Formulas'!$F:$F,0)))</f>
        <v/>
      </c>
    </row>
    <row r="94" spans="1:15" ht="15.75" x14ac:dyDescent="0.25">
      <c r="A94" s="48"/>
      <c r="B94" s="49" t="str">
        <f>INDEX('Pricing (Drugs) SS'!$B:$B,MATCH(F94,'Pricing (Drugs) SS'!$A:$A,0))</f>
        <v>FUROSEMIDE INJECTION, USP 100mg PER 10mL (10mg PER mL) 10mL VIAL</v>
      </c>
      <c r="C94" s="50" t="str">
        <f>IF(LEFT(F94,6)="Header","",INDEX('Pricing (Drugs) SS'!$E:$E,MATCH(F94,'Pricing (Drugs) SS'!$A:$A,0)))</f>
        <v>10mg/mL</v>
      </c>
      <c r="D94" s="49" t="str">
        <f>IF(LEFT(F94,6)="header","",INDEX('Pricing (Drugs) SS'!$F:$F,MATCH(F94,'Pricing (Drugs) SS'!$A:$A,0)))</f>
        <v>10mL</v>
      </c>
      <c r="E94" s="51" t="str">
        <f>IF(LEFT(F94,6)="Header","",INDEX('Pricing (Drugs) SS'!$D:$D,MATCH(F94,'Pricing (Drugs) SS'!$A:$A,0)))</f>
        <v>63323-280-10</v>
      </c>
      <c r="F94" s="119">
        <v>1016570</v>
      </c>
      <c r="G94" s="214" t="str">
        <f>IF(LEFT(F94,6)="Header","",INDEX('Tiered Cart Pricing Formulas'!$N:$N,MATCH(F94,'Tiered Cart Pricing Formulas'!$F:$F,0)))</f>
        <v/>
      </c>
      <c r="H94" s="269"/>
      <c r="I94" s="270"/>
      <c r="J94" s="214" t="str">
        <f>IF(M94="header","",INDEX('Tiered Cart Pricing Formulas'!$N:$N,MATCH(F94,'Tiered Cart Pricing Formulas'!$F:$F,0)))</f>
        <v/>
      </c>
      <c r="K94" s="268" t="str">
        <f>IF(LEFT(F94,6)="header","",INDEX('Tiered Cart Pricing Formulas'!$M:$M,MATCH(F94,'Tiered Cart Pricing Formulas'!$F:$F,0)))</f>
        <v/>
      </c>
      <c r="L94" s="268" cm="1">
        <f t="array" aca="1" ref="L94" ca="1">CELL("protect",A94)</f>
        <v>0</v>
      </c>
      <c r="M94" s="268" t="str">
        <f t="shared" si="2"/>
        <v>101657</v>
      </c>
      <c r="N94" s="268" t="str">
        <f t="shared" ca="1" si="3"/>
        <v>Good</v>
      </c>
      <c r="O94" s="268" t="str">
        <f>IF(M94="header","",INDEX('Tiered Cart Pricing Formulas'!$O:$O,MATCH(F94,'Tiered Cart Pricing Formulas'!$F:$F,0)))</f>
        <v/>
      </c>
    </row>
    <row r="95" spans="1:15" ht="15.75" x14ac:dyDescent="0.25">
      <c r="A95" s="118"/>
      <c r="B95" s="49" t="str">
        <f>INDEX('Pricing (Drugs) SS'!$B:$B,MATCH(F95,'Pricing (Drugs) SS'!$A:$A,0))</f>
        <v>GLUCOSE</v>
      </c>
      <c r="C95" s="50" t="str">
        <f>IF(LEFT(F95,6)="Header","",INDEX('Pricing (Drugs) SS'!$E:$E,MATCH(F95,'Pricing (Drugs) SS'!$A:$A,0)))</f>
        <v/>
      </c>
      <c r="D95" s="49" t="str">
        <f>IF(LEFT(F95,6)="header","",INDEX('Pricing (Drugs) SS'!$F:$F,MATCH(F95,'Pricing (Drugs) SS'!$A:$A,0)))</f>
        <v/>
      </c>
      <c r="E95" s="51" t="str">
        <f>IF(LEFT(F95,6)="Header","",INDEX('Pricing (Drugs) SS'!$D:$D,MATCH(F95,'Pricing (Drugs) SS'!$A:$A,0)))</f>
        <v/>
      </c>
      <c r="F95" s="119" t="s">
        <v>1563</v>
      </c>
      <c r="G95" s="214" t="str">
        <f>IF(LEFT(F95,6)="Header","",INDEX('Tiered Cart Pricing Formulas'!$N:$N,MATCH(F95,'Tiered Cart Pricing Formulas'!$F:$F,0)))</f>
        <v/>
      </c>
      <c r="H95" s="51"/>
      <c r="I95" s="272"/>
      <c r="J95" s="214" t="str">
        <f>IF(M95="header","",INDEX('Tiered Cart Pricing Formulas'!$N:$N,MATCH(F95,'Tiered Cart Pricing Formulas'!$F:$F,0)))</f>
        <v/>
      </c>
      <c r="K95" s="268" t="str">
        <f>IF(LEFT(F95,6)="header","",INDEX('Tiered Cart Pricing Formulas'!$M:$M,MATCH(F95,'Tiered Cart Pricing Formulas'!$F:$F,0)))</f>
        <v/>
      </c>
      <c r="L95" s="268" cm="1">
        <f t="array" aca="1" ref="L95" ca="1">CELL("protect",A95)</f>
        <v>1</v>
      </c>
      <c r="M95" s="268" t="str">
        <f t="shared" si="2"/>
        <v>HEADER</v>
      </c>
      <c r="N95" s="268" t="str">
        <f t="shared" ca="1" si="3"/>
        <v>Good</v>
      </c>
      <c r="O95" s="268" t="str">
        <f>IF(M95="header","",INDEX('Tiered Cart Pricing Formulas'!$O:$O,MATCH(F95,'Tiered Cart Pricing Formulas'!$F:$F,0)))</f>
        <v/>
      </c>
    </row>
    <row r="96" spans="1:15" ht="15.75" x14ac:dyDescent="0.25">
      <c r="A96" s="48"/>
      <c r="B96" s="49" t="str">
        <f>INDEX('Pricing (Drugs) SS'!$B:$B,MATCH(F96,'Pricing (Drugs) SS'!$A:$A,0))</f>
        <v>TRANSCEND 15g GLUCOSE GEL POUCH</v>
      </c>
      <c r="C96" s="50" t="str">
        <f>IF(LEFT(F96,6)="Header","",INDEX('Pricing (Drugs) SS'!$E:$E,MATCH(F96,'Pricing (Drugs) SS'!$A:$A,0)))</f>
        <v>15 Gram Strength</v>
      </c>
      <c r="D96" s="49" t="str">
        <f>IF(LEFT(F96,6)="header","",INDEX('Pricing (Drugs) SS'!$F:$F,MATCH(F96,'Pricing (Drugs) SS'!$A:$A,0)))</f>
        <v>31gm</v>
      </c>
      <c r="E96" s="51" t="str">
        <f>IF(LEFT(F96,6)="Header","",INDEX('Pricing (Drugs) SS'!$D:$D,MATCH(F96,'Pricing (Drugs) SS'!$A:$A,0)))</f>
        <v>N/A</v>
      </c>
      <c r="F96" s="119">
        <v>1025070</v>
      </c>
      <c r="G96" s="214" t="str">
        <f>IF(LEFT(F96,6)="Header","",INDEX('Tiered Cart Pricing Formulas'!$N:$N,MATCH(F96,'Tiered Cart Pricing Formulas'!$F:$F,0)))</f>
        <v/>
      </c>
      <c r="H96" s="269"/>
      <c r="I96" s="270"/>
      <c r="J96" s="214" t="str">
        <f>IF(M96="header","",INDEX('Tiered Cart Pricing Formulas'!$N:$N,MATCH(F96,'Tiered Cart Pricing Formulas'!$F:$F,0)))</f>
        <v/>
      </c>
      <c r="K96" s="268" t="str">
        <f>IF(LEFT(F96,6)="header","",INDEX('Tiered Cart Pricing Formulas'!$M:$M,MATCH(F96,'Tiered Cart Pricing Formulas'!$F:$F,0)))</f>
        <v/>
      </c>
      <c r="L96" s="268" cm="1">
        <f t="array" aca="1" ref="L96" ca="1">CELL("protect",A96)</f>
        <v>0</v>
      </c>
      <c r="M96" s="268" t="str">
        <f t="shared" si="2"/>
        <v>102507</v>
      </c>
      <c r="N96" s="268" t="str">
        <f t="shared" ca="1" si="3"/>
        <v>Good</v>
      </c>
      <c r="O96" s="268" t="str">
        <f>IF(M96="header","",INDEX('Tiered Cart Pricing Formulas'!$O:$O,MATCH(F96,'Tiered Cart Pricing Formulas'!$F:$F,0)))</f>
        <v/>
      </c>
    </row>
    <row r="97" spans="1:15" ht="15.75" x14ac:dyDescent="0.25">
      <c r="A97" s="118"/>
      <c r="B97" s="49" t="str">
        <f>INDEX('Pricing (Drugs) SS'!$B:$B,MATCH(F97,'Pricing (Drugs) SS'!$A:$A,0))</f>
        <v>GLYCOPYRROLATE/ROBINUL</v>
      </c>
      <c r="C97" s="50" t="str">
        <f>IF(LEFT(F97,6)="Header","",INDEX('Pricing (Drugs) SS'!$E:$E,MATCH(F97,'Pricing (Drugs) SS'!$A:$A,0)))</f>
        <v/>
      </c>
      <c r="D97" s="49" t="str">
        <f>IF(LEFT(F97,6)="header","",INDEX('Pricing (Drugs) SS'!$F:$F,MATCH(F97,'Pricing (Drugs) SS'!$A:$A,0)))</f>
        <v/>
      </c>
      <c r="E97" s="51" t="str">
        <f>IF(LEFT(F97,6)="Header","",INDEX('Pricing (Drugs) SS'!$D:$D,MATCH(F97,'Pricing (Drugs) SS'!$A:$A,0)))</f>
        <v/>
      </c>
      <c r="F97" s="119" t="s">
        <v>1564</v>
      </c>
      <c r="G97" s="214" t="str">
        <f>IF(LEFT(F97,6)="Header","",INDEX('Tiered Cart Pricing Formulas'!$N:$N,MATCH(F97,'Tiered Cart Pricing Formulas'!$F:$F,0)))</f>
        <v/>
      </c>
      <c r="H97" s="51"/>
      <c r="I97" s="272"/>
      <c r="J97" s="214" t="str">
        <f>IF(M97="header","",INDEX('Tiered Cart Pricing Formulas'!$N:$N,MATCH(F97,'Tiered Cart Pricing Formulas'!$F:$F,0)))</f>
        <v/>
      </c>
      <c r="K97" s="268" t="str">
        <f>IF(LEFT(F97,6)="header","",INDEX('Tiered Cart Pricing Formulas'!$M:$M,MATCH(F97,'Tiered Cart Pricing Formulas'!$F:$F,0)))</f>
        <v/>
      </c>
      <c r="L97" s="268" cm="1">
        <f t="array" aca="1" ref="L97" ca="1">CELL("protect",A97)</f>
        <v>1</v>
      </c>
      <c r="M97" s="268" t="str">
        <f t="shared" si="2"/>
        <v>HEADER</v>
      </c>
      <c r="N97" s="268" t="str">
        <f t="shared" ca="1" si="3"/>
        <v>Good</v>
      </c>
      <c r="O97" s="268" t="str">
        <f>IF(M97="header","",INDEX('Tiered Cart Pricing Formulas'!$O:$O,MATCH(F97,'Tiered Cart Pricing Formulas'!$F:$F,0)))</f>
        <v/>
      </c>
    </row>
    <row r="98" spans="1:15" ht="15.75" x14ac:dyDescent="0.25">
      <c r="A98" s="48"/>
      <c r="B98" s="49" t="str">
        <f>INDEX('Pricing (Drugs) SS'!$B:$B,MATCH(F98,'Pricing (Drugs) SS'!$A:$A,0))</f>
        <v>GLYCOPYRROLATE INJECTION, USP 0.2mg/mL CONTAINS BENZYL ALCOHOL 1mL VIAL</v>
      </c>
      <c r="C98" s="50" t="str">
        <f>IF(LEFT(F98,6)="Header","",INDEX('Pricing (Drugs) SS'!$E:$E,MATCH(F98,'Pricing (Drugs) SS'!$A:$A,0)))</f>
        <v>0.2mg/mL</v>
      </c>
      <c r="D98" s="49" t="str">
        <f>IF(LEFT(F98,6)="header","",INDEX('Pricing (Drugs) SS'!$F:$F,MATCH(F98,'Pricing (Drugs) SS'!$A:$A,0)))</f>
        <v>1mL</v>
      </c>
      <c r="E98" s="51" t="str">
        <f>IF(LEFT(F98,6)="Header","",INDEX('Pricing (Drugs) SS'!$D:$D,MATCH(F98,'Pricing (Drugs) SS'!$A:$A,0)))</f>
        <v>0143-9682-25</v>
      </c>
      <c r="F98" s="119">
        <v>1013070</v>
      </c>
      <c r="G98" s="214" t="str">
        <f>IF(LEFT(F98,6)="Header","",INDEX('Tiered Cart Pricing Formulas'!$N:$N,MATCH(F98,'Tiered Cart Pricing Formulas'!$F:$F,0)))</f>
        <v/>
      </c>
      <c r="H98" s="269"/>
      <c r="I98" s="270"/>
      <c r="J98" s="214" t="str">
        <f>IF(M98="header","",INDEX('Tiered Cart Pricing Formulas'!$N:$N,MATCH(F98,'Tiered Cart Pricing Formulas'!$F:$F,0)))</f>
        <v/>
      </c>
      <c r="K98" s="268" t="str">
        <f>IF(LEFT(F98,6)="header","",INDEX('Tiered Cart Pricing Formulas'!$M:$M,MATCH(F98,'Tiered Cart Pricing Formulas'!$F:$F,0)))</f>
        <v/>
      </c>
      <c r="L98" s="268" cm="1">
        <f t="array" aca="1" ref="L98" ca="1">CELL("protect",A98)</f>
        <v>0</v>
      </c>
      <c r="M98" s="268" t="str">
        <f t="shared" si="2"/>
        <v>101307</v>
      </c>
      <c r="N98" s="268" t="str">
        <f t="shared" ca="1" si="3"/>
        <v>Good</v>
      </c>
      <c r="O98" s="268" t="str">
        <f>IF(M98="header","",INDEX('Tiered Cart Pricing Formulas'!$O:$O,MATCH(F98,'Tiered Cart Pricing Formulas'!$F:$F,0)))</f>
        <v/>
      </c>
    </row>
    <row r="99" spans="1:15" ht="15.75" x14ac:dyDescent="0.25">
      <c r="A99" s="48"/>
      <c r="B99" s="49" t="str">
        <f>INDEX('Pricing (Drugs) SS'!$B:$B,MATCH(F99,'Pricing (Drugs) SS'!$A:$A,0))</f>
        <v>GLYCOPYRROLATE INJECTION, USP 1mg/5mL (0.2mg/mL) 5mL VIAL</v>
      </c>
      <c r="C99" s="50" t="str">
        <f>IF(LEFT(F99,6)="Header","",INDEX('Pricing (Drugs) SS'!$E:$E,MATCH(F99,'Pricing (Drugs) SS'!$A:$A,0)))</f>
        <v>0.2mg/mL</v>
      </c>
      <c r="D99" s="49" t="str">
        <f>IF(LEFT(F99,6)="header","",INDEX('Pricing (Drugs) SS'!$F:$F,MATCH(F99,'Pricing (Drugs) SS'!$A:$A,0)))</f>
        <v>5mL</v>
      </c>
      <c r="E99" s="51" t="str">
        <f>IF(LEFT(F99,6)="Header","",INDEX('Pricing (Drugs) SS'!$D:$D,MATCH(F99,'Pricing (Drugs) SS'!$A:$A,0)))</f>
        <v>0143-9680-25</v>
      </c>
      <c r="F99" s="119">
        <v>1018040</v>
      </c>
      <c r="G99" s="214" t="str">
        <f>IF(LEFT(F99,6)="Header","",INDEX('Tiered Cart Pricing Formulas'!$N:$N,MATCH(F99,'Tiered Cart Pricing Formulas'!$F:$F,0)))</f>
        <v/>
      </c>
      <c r="H99" s="269"/>
      <c r="I99" s="270"/>
      <c r="J99" s="214" t="str">
        <f>IF(M99="header","",INDEX('Tiered Cart Pricing Formulas'!$N:$N,MATCH(F99,'Tiered Cart Pricing Formulas'!$F:$F,0)))</f>
        <v/>
      </c>
      <c r="K99" s="268" t="str">
        <f>IF(LEFT(F99,6)="header","",INDEX('Tiered Cart Pricing Formulas'!$M:$M,MATCH(F99,'Tiered Cart Pricing Formulas'!$F:$F,0)))</f>
        <v/>
      </c>
      <c r="L99" s="268" cm="1">
        <f t="array" aca="1" ref="L99" ca="1">CELL("protect",A99)</f>
        <v>0</v>
      </c>
      <c r="M99" s="268" t="str">
        <f t="shared" si="2"/>
        <v>101804</v>
      </c>
      <c r="N99" s="268" t="str">
        <f t="shared" ca="1" si="3"/>
        <v>Good</v>
      </c>
      <c r="O99" s="268" t="str">
        <f>IF(M99="header","",INDEX('Tiered Cart Pricing Formulas'!$O:$O,MATCH(F99,'Tiered Cart Pricing Formulas'!$F:$F,0)))</f>
        <v/>
      </c>
    </row>
    <row r="100" spans="1:15" ht="15.75" x14ac:dyDescent="0.25">
      <c r="A100" s="118"/>
      <c r="B100" s="49" t="str">
        <f>INDEX('Pricing (Drugs) SS'!$B:$B,MATCH(F100,'Pricing (Drugs) SS'!$A:$A,0))</f>
        <v>HETASTARCH</v>
      </c>
      <c r="C100" s="50" t="str">
        <f>IF(LEFT(F100,6)="Header","",INDEX('Pricing (Drugs) SS'!$E:$E,MATCH(F100,'Pricing (Drugs) SS'!$A:$A,0)))</f>
        <v/>
      </c>
      <c r="D100" s="49" t="str">
        <f>IF(LEFT(F100,6)="header","",INDEX('Pricing (Drugs) SS'!$F:$F,MATCH(F100,'Pricing (Drugs) SS'!$A:$A,0)))</f>
        <v/>
      </c>
      <c r="E100" s="51" t="str">
        <f>IF(LEFT(F100,6)="Header","",INDEX('Pricing (Drugs) SS'!$D:$D,MATCH(F100,'Pricing (Drugs) SS'!$A:$A,0)))</f>
        <v/>
      </c>
      <c r="F100" s="119" t="s">
        <v>1565</v>
      </c>
      <c r="G100" s="214" t="str">
        <f>IF(LEFT(F100,6)="Header","",INDEX('Tiered Cart Pricing Formulas'!$N:$N,MATCH(F100,'Tiered Cart Pricing Formulas'!$F:$F,0)))</f>
        <v/>
      </c>
      <c r="H100" s="51"/>
      <c r="I100" s="272"/>
      <c r="J100" s="214" t="str">
        <f>IF(M100="header","",INDEX('Tiered Cart Pricing Formulas'!$N:$N,MATCH(F100,'Tiered Cart Pricing Formulas'!$F:$F,0)))</f>
        <v/>
      </c>
      <c r="K100" s="268" t="str">
        <f>IF(LEFT(F100,6)="header","",INDEX('Tiered Cart Pricing Formulas'!$M:$M,MATCH(F100,'Tiered Cart Pricing Formulas'!$F:$F,0)))</f>
        <v/>
      </c>
      <c r="L100" s="268" cm="1">
        <f t="array" aca="1" ref="L100" ca="1">CELL("protect",A100)</f>
        <v>1</v>
      </c>
      <c r="M100" s="268" t="str">
        <f t="shared" si="2"/>
        <v>HEADER</v>
      </c>
      <c r="N100" s="268" t="str">
        <f t="shared" ca="1" si="3"/>
        <v>Good</v>
      </c>
      <c r="O100" s="268" t="str">
        <f>IF(M100="header","",INDEX('Tiered Cart Pricing Formulas'!$O:$O,MATCH(F100,'Tiered Cart Pricing Formulas'!$F:$F,0)))</f>
        <v/>
      </c>
    </row>
    <row r="101" spans="1:15" ht="15.75" x14ac:dyDescent="0.25">
      <c r="A101" s="48"/>
      <c r="B101" s="49" t="str">
        <f>INDEX('Pricing (Drugs) SS'!$B:$B,MATCH(F101,'Pricing (Drugs) SS'!$A:$A,0))</f>
        <v>6% HETASTARCH IN 0.9% SODIUM CHLORIDE INJECTION 500mL BAG</v>
      </c>
      <c r="C101" s="50" t="str">
        <f>IF(LEFT(F101,6)="Header","",INDEX('Pricing (Drugs) SS'!$E:$E,MATCH(F101,'Pricing (Drugs) SS'!$A:$A,0)))</f>
        <v>9mg/mL ;6%</v>
      </c>
      <c r="D101" s="49" t="str">
        <f>IF(LEFT(F101,6)="header","",INDEX('Pricing (Drugs) SS'!$F:$F,MATCH(F101,'Pricing (Drugs) SS'!$A:$A,0)))</f>
        <v>500mL</v>
      </c>
      <c r="E101" s="51" t="str">
        <f>IF(LEFT(F101,6)="Header","",INDEX('Pricing (Drugs) SS'!$D:$D,MATCH(F101,'Pricing (Drugs) SS'!$A:$A,0)))</f>
        <v>0409-7248-03</v>
      </c>
      <c r="F101" s="119">
        <v>1009750</v>
      </c>
      <c r="G101" s="214" t="str">
        <f>IF(LEFT(F101,6)="Header","",INDEX('Tiered Cart Pricing Formulas'!$N:$N,MATCH(F101,'Tiered Cart Pricing Formulas'!$F:$F,0)))</f>
        <v/>
      </c>
      <c r="H101" s="269"/>
      <c r="I101" s="270"/>
      <c r="J101" s="214" t="str">
        <f>IF(M101="header","",INDEX('Tiered Cart Pricing Formulas'!$N:$N,MATCH(F101,'Tiered Cart Pricing Formulas'!$F:$F,0)))</f>
        <v/>
      </c>
      <c r="K101" s="268" t="str">
        <f>IF(LEFT(F101,6)="header","",INDEX('Tiered Cart Pricing Formulas'!$M:$M,MATCH(F101,'Tiered Cart Pricing Formulas'!$F:$F,0)))</f>
        <v/>
      </c>
      <c r="L101" s="268" cm="1">
        <f t="array" aca="1" ref="L101" ca="1">CELL("protect",A101)</f>
        <v>0</v>
      </c>
      <c r="M101" s="268" t="str">
        <f t="shared" si="2"/>
        <v>100975</v>
      </c>
      <c r="N101" s="268" t="str">
        <f t="shared" ca="1" si="3"/>
        <v>Good</v>
      </c>
      <c r="O101" s="268" t="str">
        <f>IF(M101="header","",INDEX('Tiered Cart Pricing Formulas'!$O:$O,MATCH(F101,'Tiered Cart Pricing Formulas'!$F:$F,0)))</f>
        <v/>
      </c>
    </row>
    <row r="102" spans="1:15" ht="15.75" x14ac:dyDescent="0.25">
      <c r="A102" s="118"/>
      <c r="B102" s="49" t="str">
        <f>INDEX('Pricing (Drugs) SS'!$B:$B,MATCH(F102,'Pricing (Drugs) SS'!$A:$A,0))</f>
        <v>HEPARIN</v>
      </c>
      <c r="C102" s="50" t="str">
        <f>IF(LEFT(F102,6)="Header","",INDEX('Pricing (Drugs) SS'!$E:$E,MATCH(F102,'Pricing (Drugs) SS'!$A:$A,0)))</f>
        <v/>
      </c>
      <c r="D102" s="49" t="str">
        <f>IF(LEFT(F102,6)="header","",INDEX('Pricing (Drugs) SS'!$F:$F,MATCH(F102,'Pricing (Drugs) SS'!$A:$A,0)))</f>
        <v/>
      </c>
      <c r="E102" s="51" t="str">
        <f>IF(LEFT(F102,6)="Header","",INDEX('Pricing (Drugs) SS'!$D:$D,MATCH(F102,'Pricing (Drugs) SS'!$A:$A,0)))</f>
        <v/>
      </c>
      <c r="F102" s="119" t="s">
        <v>1566</v>
      </c>
      <c r="G102" s="214" t="str">
        <f>IF(LEFT(F102,6)="Header","",INDEX('Tiered Cart Pricing Formulas'!$N:$N,MATCH(F102,'Tiered Cart Pricing Formulas'!$F:$F,0)))</f>
        <v/>
      </c>
      <c r="H102" s="51"/>
      <c r="I102" s="272"/>
      <c r="J102" s="214" t="str">
        <f>IF(M102="header","",INDEX('Tiered Cart Pricing Formulas'!$N:$N,MATCH(F102,'Tiered Cart Pricing Formulas'!$F:$F,0)))</f>
        <v/>
      </c>
      <c r="K102" s="268" t="str">
        <f>IF(LEFT(F102,6)="header","",INDEX('Tiered Cart Pricing Formulas'!$M:$M,MATCH(F102,'Tiered Cart Pricing Formulas'!$F:$F,0)))</f>
        <v/>
      </c>
      <c r="L102" s="268" cm="1">
        <f t="array" aca="1" ref="L102" ca="1">CELL("protect",A102)</f>
        <v>1</v>
      </c>
      <c r="M102" s="268" t="str">
        <f t="shared" si="2"/>
        <v>HEADER</v>
      </c>
      <c r="N102" s="268" t="str">
        <f t="shared" ca="1" si="3"/>
        <v>Good</v>
      </c>
      <c r="O102" s="268" t="str">
        <f>IF(M102="header","",INDEX('Tiered Cart Pricing Formulas'!$O:$O,MATCH(F102,'Tiered Cart Pricing Formulas'!$F:$F,0)))</f>
        <v/>
      </c>
    </row>
    <row r="103" spans="1:15" ht="15.75" x14ac:dyDescent="0.25">
      <c r="A103" s="48"/>
      <c r="B103" s="49" t="str">
        <f>INDEX('Pricing (Drugs) SS'!$B:$B,MATCH(F103,'Pricing (Drugs) SS'!$A:$A,0))</f>
        <v>HEPARIN SODIUM INJECTION, USP 10,000 USP UNITS/mL 1mL VIAL</v>
      </c>
      <c r="C103" s="50" t="str">
        <f>IF(LEFT(F103,6)="Header","",INDEX('Pricing (Drugs) SS'!$E:$E,MATCH(F103,'Pricing (Drugs) SS'!$A:$A,0)))</f>
        <v>10,000usp per mL</v>
      </c>
      <c r="D103" s="49" t="str">
        <f>IF(LEFT(F103,6)="header","",INDEX('Pricing (Drugs) SS'!$F:$F,MATCH(F103,'Pricing (Drugs) SS'!$A:$A,0)))</f>
        <v>1mL</v>
      </c>
      <c r="E103" s="51" t="str">
        <f>IF(LEFT(F103,6)="Header","",INDEX('Pricing (Drugs) SS'!$D:$D,MATCH(F103,'Pricing (Drugs) SS'!$A:$A,0)))</f>
        <v>0409-2721-01</v>
      </c>
      <c r="F103" s="119">
        <v>1013060</v>
      </c>
      <c r="G103" s="214" t="str">
        <f>IF(LEFT(F103,6)="Header","",INDEX('Tiered Cart Pricing Formulas'!$N:$N,MATCH(F103,'Tiered Cart Pricing Formulas'!$F:$F,0)))</f>
        <v/>
      </c>
      <c r="H103" s="269"/>
      <c r="I103" s="270"/>
      <c r="J103" s="214" t="str">
        <f>IF(M103="header","",INDEX('Tiered Cart Pricing Formulas'!$N:$N,MATCH(F103,'Tiered Cart Pricing Formulas'!$F:$F,0)))</f>
        <v/>
      </c>
      <c r="K103" s="268" t="str">
        <f>IF(LEFT(F103,6)="header","",INDEX('Tiered Cart Pricing Formulas'!$M:$M,MATCH(F103,'Tiered Cart Pricing Formulas'!$F:$F,0)))</f>
        <v/>
      </c>
      <c r="L103" s="268" cm="1">
        <f t="array" aca="1" ref="L103" ca="1">CELL("protect",A103)</f>
        <v>0</v>
      </c>
      <c r="M103" s="268" t="str">
        <f t="shared" si="2"/>
        <v>101306</v>
      </c>
      <c r="N103" s="268" t="str">
        <f t="shared" ca="1" si="3"/>
        <v>Good</v>
      </c>
      <c r="O103" s="268" t="str">
        <f>IF(M103="header","",INDEX('Tiered Cart Pricing Formulas'!$O:$O,MATCH(F103,'Tiered Cart Pricing Formulas'!$F:$F,0)))</f>
        <v/>
      </c>
    </row>
    <row r="104" spans="1:15" ht="15.75" x14ac:dyDescent="0.25">
      <c r="A104" s="48"/>
      <c r="B104" s="49" t="str">
        <f>INDEX('Pricing (Drugs) SS'!$B:$B,MATCH(F104,'Pricing (Drugs) SS'!$A:$A,0))</f>
        <v>HEPARIN SODIUM INJECTION, USP 50,000 USP UNITS PER 5mL (10,000 USP UNITS per mL) 5mL VIAL</v>
      </c>
      <c r="C104" s="50" t="str">
        <f>IF(LEFT(F104,6)="Header","",INDEX('Pricing (Drugs) SS'!$E:$E,MATCH(F104,'Pricing (Drugs) SS'!$A:$A,0)))</f>
        <v>10,000u/mL</v>
      </c>
      <c r="D104" s="49" t="str">
        <f>IF(LEFT(F104,6)="header","",INDEX('Pricing (Drugs) SS'!$F:$F,MATCH(F104,'Pricing (Drugs) SS'!$A:$A,0)))</f>
        <v>5mL</v>
      </c>
      <c r="E104" s="51" t="str">
        <f>IF(LEFT(F104,6)="Header","",INDEX('Pricing (Drugs) SS'!$D:$D,MATCH(F104,'Pricing (Drugs) SS'!$A:$A,0)))</f>
        <v>63323-542-14</v>
      </c>
      <c r="F104" s="119">
        <v>1012150</v>
      </c>
      <c r="G104" s="214" t="str">
        <f>IF(LEFT(F104,6)="Header","",INDEX('Tiered Cart Pricing Formulas'!$N:$N,MATCH(F104,'Tiered Cart Pricing Formulas'!$F:$F,0)))</f>
        <v/>
      </c>
      <c r="H104" s="269"/>
      <c r="I104" s="270"/>
      <c r="J104" s="214" t="str">
        <f>IF(M104="header","",INDEX('Tiered Cart Pricing Formulas'!$N:$N,MATCH(F104,'Tiered Cart Pricing Formulas'!$F:$F,0)))</f>
        <v/>
      </c>
      <c r="K104" s="268" t="str">
        <f>IF(LEFT(F104,6)="header","",INDEX('Tiered Cart Pricing Formulas'!$M:$M,MATCH(F104,'Tiered Cart Pricing Formulas'!$F:$F,0)))</f>
        <v/>
      </c>
      <c r="L104" s="268" cm="1">
        <f t="array" aca="1" ref="L104" ca="1">CELL("protect",A104)</f>
        <v>0</v>
      </c>
      <c r="M104" s="268" t="str">
        <f t="shared" si="2"/>
        <v>101215</v>
      </c>
      <c r="N104" s="268" t="str">
        <f t="shared" ca="1" si="3"/>
        <v>Good</v>
      </c>
      <c r="O104" s="268" t="str">
        <f>IF(M104="header","",INDEX('Tiered Cart Pricing Formulas'!$O:$O,MATCH(F104,'Tiered Cart Pricing Formulas'!$F:$F,0)))</f>
        <v/>
      </c>
    </row>
    <row r="105" spans="1:15" ht="15.75" x14ac:dyDescent="0.25">
      <c r="A105" s="48"/>
      <c r="B105" s="49" t="str">
        <f>INDEX('Pricing (Drugs) SS'!$B:$B,MATCH(F105,'Pricing (Drugs) SS'!$A:$A,0))</f>
        <v>HEPARIN SODIUM IN 0.45% SODIUM CHLORIDE INJECTION (100 USP UNITS/mL) 250 mL</v>
      </c>
      <c r="C105" s="50" t="str">
        <f>IF(LEFT(F105,6)="Header","",INDEX('Pricing (Drugs) SS'!$E:$E,MATCH(F105,'Pricing (Drugs) SS'!$A:$A,0)))</f>
        <v>100 USP UNITS/mL)</v>
      </c>
      <c r="D105" s="49" t="str">
        <f>IF(LEFT(F105,6)="header","",INDEX('Pricing (Drugs) SS'!$F:$F,MATCH(F105,'Pricing (Drugs) SS'!$A:$A,0)))</f>
        <v>250 mL</v>
      </c>
      <c r="E105" s="51" t="str">
        <f>IF(LEFT(F105,6)="Header","",INDEX('Pricing (Drugs) SS'!$D:$D,MATCH(F105,'Pricing (Drugs) SS'!$A:$A,0)))</f>
        <v>0409-7650-62</v>
      </c>
      <c r="F105" s="119">
        <v>1011890</v>
      </c>
      <c r="G105" s="214" t="str">
        <f>IF(LEFT(F105,6)="Header","",INDEX('Tiered Cart Pricing Formulas'!$N:$N,MATCH(F105,'Tiered Cart Pricing Formulas'!$F:$F,0)))</f>
        <v/>
      </c>
      <c r="H105" s="269"/>
      <c r="I105" s="270"/>
      <c r="J105" s="214" t="str">
        <f>IF(M105="header","",INDEX('Tiered Cart Pricing Formulas'!$N:$N,MATCH(F105,'Tiered Cart Pricing Formulas'!$F:$F,0)))</f>
        <v/>
      </c>
      <c r="K105" s="268" t="str">
        <f>IF(LEFT(F105,6)="header","",INDEX('Tiered Cart Pricing Formulas'!$M:$M,MATCH(F105,'Tiered Cart Pricing Formulas'!$F:$F,0)))</f>
        <v/>
      </c>
      <c r="L105" s="268" cm="1">
        <f t="array" aca="1" ref="L105" ca="1">CELL("protect",A105)</f>
        <v>0</v>
      </c>
      <c r="M105" s="268" t="str">
        <f t="shared" si="2"/>
        <v>101189</v>
      </c>
      <c r="N105" s="268" t="str">
        <f t="shared" ca="1" si="3"/>
        <v>Good</v>
      </c>
      <c r="O105" s="268" t="str">
        <f>IF(M105="header","",INDEX('Tiered Cart Pricing Formulas'!$O:$O,MATCH(F105,'Tiered Cart Pricing Formulas'!$F:$F,0)))</f>
        <v/>
      </c>
    </row>
    <row r="106" spans="1:15" ht="15.75" x14ac:dyDescent="0.25">
      <c r="A106" s="118"/>
      <c r="B106" s="49" t="str">
        <f>INDEX('Pricing (Drugs) SS'!$B:$B,MATCH(F106,'Pricing (Drugs) SS'!$A:$A,0))</f>
        <v>HYDRALAZINE/APRESOLINE</v>
      </c>
      <c r="C106" s="50" t="str">
        <f>IF(LEFT(F106,6)="Header","",INDEX('Pricing (Drugs) SS'!$E:$E,MATCH(F106,'Pricing (Drugs) SS'!$A:$A,0)))</f>
        <v/>
      </c>
      <c r="D106" s="49" t="str">
        <f>IF(LEFT(F106,6)="header","",INDEX('Pricing (Drugs) SS'!$F:$F,MATCH(F106,'Pricing (Drugs) SS'!$A:$A,0)))</f>
        <v/>
      </c>
      <c r="E106" s="51" t="str">
        <f>IF(LEFT(F106,6)="Header","",INDEX('Pricing (Drugs) SS'!$D:$D,MATCH(F106,'Pricing (Drugs) SS'!$A:$A,0)))</f>
        <v/>
      </c>
      <c r="F106" s="119" t="s">
        <v>1567</v>
      </c>
      <c r="G106" s="214" t="str">
        <f>IF(LEFT(F106,6)="Header","",INDEX('Tiered Cart Pricing Formulas'!$N:$N,MATCH(F106,'Tiered Cart Pricing Formulas'!$F:$F,0)))</f>
        <v/>
      </c>
      <c r="H106" s="51"/>
      <c r="I106" s="272"/>
      <c r="J106" s="214" t="str">
        <f>IF(M106="header","",INDEX('Tiered Cart Pricing Formulas'!$N:$N,MATCH(F106,'Tiered Cart Pricing Formulas'!$F:$F,0)))</f>
        <v/>
      </c>
      <c r="K106" s="268" t="str">
        <f>IF(LEFT(F106,6)="header","",INDEX('Tiered Cart Pricing Formulas'!$M:$M,MATCH(F106,'Tiered Cart Pricing Formulas'!$F:$F,0)))</f>
        <v/>
      </c>
      <c r="L106" s="268" cm="1">
        <f t="array" aca="1" ref="L106" ca="1">CELL("protect",A106)</f>
        <v>1</v>
      </c>
      <c r="M106" s="268" t="str">
        <f t="shared" si="2"/>
        <v>HEADER</v>
      </c>
      <c r="N106" s="268" t="str">
        <f t="shared" ca="1" si="3"/>
        <v>Good</v>
      </c>
      <c r="O106" s="268" t="str">
        <f>IF(M106="header","",INDEX('Tiered Cart Pricing Formulas'!$O:$O,MATCH(F106,'Tiered Cart Pricing Formulas'!$F:$F,0)))</f>
        <v/>
      </c>
    </row>
    <row r="107" spans="1:15" ht="15.75" x14ac:dyDescent="0.25">
      <c r="A107" s="48"/>
      <c r="B107" s="49" t="str">
        <f>INDEX('Pricing (Drugs) SS'!$B:$B,MATCH(F107,'Pricing (Drugs) SS'!$A:$A,0))</f>
        <v>HYDRALAZINE HYDROCHLORIDE INJECTION, USP 20mg per mL 1mL VIAL</v>
      </c>
      <c r="C107" s="50" t="str">
        <f>IF(LEFT(F107,6)="Header","",INDEX('Pricing (Drugs) SS'!$E:$E,MATCH(F107,'Pricing (Drugs) SS'!$A:$A,0)))</f>
        <v>20mg/mL</v>
      </c>
      <c r="D107" s="49" t="str">
        <f>IF(LEFT(F107,6)="header","",INDEX('Pricing (Drugs) SS'!$F:$F,MATCH(F107,'Pricing (Drugs) SS'!$A:$A,0)))</f>
        <v>1mL</v>
      </c>
      <c r="E107" s="51" t="str">
        <f>IF(LEFT(F107,6)="Header","",INDEX('Pricing (Drugs) SS'!$D:$D,MATCH(F107,'Pricing (Drugs) SS'!$A:$A,0)))</f>
        <v>63323-614-01</v>
      </c>
      <c r="F107" s="119">
        <v>1012170</v>
      </c>
      <c r="G107" s="214" t="str">
        <f>IF(LEFT(F107,6)="Header","",INDEX('Tiered Cart Pricing Formulas'!$N:$N,MATCH(F107,'Tiered Cart Pricing Formulas'!$F:$F,0)))</f>
        <v/>
      </c>
      <c r="H107" s="269"/>
      <c r="I107" s="270"/>
      <c r="J107" s="214" t="str">
        <f>IF(M107="header","",INDEX('Tiered Cart Pricing Formulas'!$N:$N,MATCH(F107,'Tiered Cart Pricing Formulas'!$F:$F,0)))</f>
        <v/>
      </c>
      <c r="K107" s="268" t="str">
        <f>IF(LEFT(F107,6)="header","",INDEX('Tiered Cart Pricing Formulas'!$M:$M,MATCH(F107,'Tiered Cart Pricing Formulas'!$F:$F,0)))</f>
        <v/>
      </c>
      <c r="L107" s="268" cm="1">
        <f t="array" aca="1" ref="L107" ca="1">CELL("protect",A107)</f>
        <v>0</v>
      </c>
      <c r="M107" s="268" t="str">
        <f t="shared" si="2"/>
        <v>101217</v>
      </c>
      <c r="N107" s="268" t="str">
        <f t="shared" ca="1" si="3"/>
        <v>Good</v>
      </c>
      <c r="O107" s="268" t="str">
        <f>IF(M107="header","",INDEX('Tiered Cart Pricing Formulas'!$O:$O,MATCH(F107,'Tiered Cart Pricing Formulas'!$F:$F,0)))</f>
        <v/>
      </c>
    </row>
    <row r="108" spans="1:15" ht="15.75" x14ac:dyDescent="0.25">
      <c r="A108" s="118"/>
      <c r="B108" s="49" t="str">
        <f>INDEX('Pricing (Drugs) SS'!$B:$B,MATCH(F108,'Pricing (Drugs) SS'!$A:$A,0))</f>
        <v>HYDROCORTISONE/ SOLU-CORTEF</v>
      </c>
      <c r="C108" s="50" t="str">
        <f>IF(LEFT(F108,6)="Header","",INDEX('Pricing (Drugs) SS'!$E:$E,MATCH(F108,'Pricing (Drugs) SS'!$A:$A,0)))</f>
        <v/>
      </c>
      <c r="D108" s="49" t="str">
        <f>IF(LEFT(F108,6)="header","",INDEX('Pricing (Drugs) SS'!$F:$F,MATCH(F108,'Pricing (Drugs) SS'!$A:$A,0)))</f>
        <v/>
      </c>
      <c r="E108" s="51" t="str">
        <f>IF(LEFT(F108,6)="Header","",INDEX('Pricing (Drugs) SS'!$D:$D,MATCH(F108,'Pricing (Drugs) SS'!$A:$A,0)))</f>
        <v/>
      </c>
      <c r="F108" s="119" t="s">
        <v>1568</v>
      </c>
      <c r="G108" s="214" t="str">
        <f>IF(LEFT(F108,6)="Header","",INDEX('Tiered Cart Pricing Formulas'!$N:$N,MATCH(F108,'Tiered Cart Pricing Formulas'!$F:$F,0)))</f>
        <v/>
      </c>
      <c r="H108" s="51"/>
      <c r="I108" s="272"/>
      <c r="J108" s="214" t="str">
        <f>IF(M108="header","",INDEX('Tiered Cart Pricing Formulas'!$N:$N,MATCH(F108,'Tiered Cart Pricing Formulas'!$F:$F,0)))</f>
        <v/>
      </c>
      <c r="K108" s="268" t="str">
        <f>IF(LEFT(F108,6)="header","",INDEX('Tiered Cart Pricing Formulas'!$M:$M,MATCH(F108,'Tiered Cart Pricing Formulas'!$F:$F,0)))</f>
        <v/>
      </c>
      <c r="L108" s="268" cm="1">
        <f t="array" aca="1" ref="L108" ca="1">CELL("protect",A108)</f>
        <v>1</v>
      </c>
      <c r="M108" s="268" t="str">
        <f t="shared" si="2"/>
        <v>HEADER</v>
      </c>
      <c r="N108" s="268" t="str">
        <f t="shared" ca="1" si="3"/>
        <v>Good</v>
      </c>
      <c r="O108" s="268" t="str">
        <f>IF(M108="header","",INDEX('Tiered Cart Pricing Formulas'!$O:$O,MATCH(F108,'Tiered Cart Pricing Formulas'!$F:$F,0)))</f>
        <v/>
      </c>
    </row>
    <row r="109" spans="1:15" ht="15.75" x14ac:dyDescent="0.25">
      <c r="A109" s="48"/>
      <c r="B109" s="49" t="str">
        <f>INDEX('Pricing (Drugs) SS'!$B:$B,MATCH(F109,'Pricing (Drugs) SS'!$A:$A,0))</f>
        <v>SOLU-CORTEF® 100mg 2mL ACT-O-VIAL®</v>
      </c>
      <c r="C109" s="50" t="str">
        <f>IF(LEFT(F109,6)="Header","",INDEX('Pricing (Drugs) SS'!$E:$E,MATCH(F109,'Pricing (Drugs) SS'!$A:$A,0)))</f>
        <v>100mg/2mL</v>
      </c>
      <c r="D109" s="49" t="str">
        <f>IF(LEFT(F109,6)="header","",INDEX('Pricing (Drugs) SS'!$F:$F,MATCH(F109,'Pricing (Drugs) SS'!$A:$A,0)))</f>
        <v>2mL</v>
      </c>
      <c r="E109" s="51" t="str">
        <f>IF(LEFT(F109,6)="Header","",INDEX('Pricing (Drugs) SS'!$D:$D,MATCH(F109,'Pricing (Drugs) SS'!$A:$A,0)))</f>
        <v>0009-0011-04</v>
      </c>
      <c r="F109" s="119">
        <v>1000640</v>
      </c>
      <c r="G109" s="214" t="str">
        <f>IF(LEFT(F109,6)="Header","",INDEX('Tiered Cart Pricing Formulas'!$N:$N,MATCH(F109,'Tiered Cart Pricing Formulas'!$F:$F,0)))</f>
        <v/>
      </c>
      <c r="H109" s="269"/>
      <c r="I109" s="270"/>
      <c r="J109" s="214" t="str">
        <f>IF(M109="header","",INDEX('Tiered Cart Pricing Formulas'!$N:$N,MATCH(F109,'Tiered Cart Pricing Formulas'!$F:$F,0)))</f>
        <v/>
      </c>
      <c r="K109" s="268" t="str">
        <f>IF(LEFT(F109,6)="header","",INDEX('Tiered Cart Pricing Formulas'!$M:$M,MATCH(F109,'Tiered Cart Pricing Formulas'!$F:$F,0)))</f>
        <v/>
      </c>
      <c r="L109" s="268" cm="1">
        <f t="array" aca="1" ref="L109" ca="1">CELL("protect",A109)</f>
        <v>0</v>
      </c>
      <c r="M109" s="268" t="str">
        <f t="shared" si="2"/>
        <v>100064</v>
      </c>
      <c r="N109" s="268" t="str">
        <f t="shared" ca="1" si="3"/>
        <v>Good</v>
      </c>
      <c r="O109" s="268" t="str">
        <f>IF(M109="header","",INDEX('Tiered Cart Pricing Formulas'!$O:$O,MATCH(F109,'Tiered Cart Pricing Formulas'!$F:$F,0)))</f>
        <v/>
      </c>
    </row>
    <row r="110" spans="1:15" ht="15.75" x14ac:dyDescent="0.25">
      <c r="A110" s="48"/>
      <c r="B110" s="49" t="str">
        <f>INDEX('Pricing (Drugs) SS'!$B:$B,MATCH(F110,'Pricing (Drugs) SS'!$A:$A,0))</f>
        <v>SOLU-CORTEF® 250mg 2mL ACT-O-VIAL®</v>
      </c>
      <c r="C110" s="50" t="str">
        <f>IF(LEFT(F110,6)="Header","",INDEX('Pricing (Drugs) SS'!$E:$E,MATCH(F110,'Pricing (Drugs) SS'!$A:$A,0)))</f>
        <v>250mg</v>
      </c>
      <c r="D110" s="49" t="str">
        <f>IF(LEFT(F110,6)="header","",INDEX('Pricing (Drugs) SS'!$F:$F,MATCH(F110,'Pricing (Drugs) SS'!$A:$A,0)))</f>
        <v>2mL</v>
      </c>
      <c r="E110" s="51" t="str">
        <f>IF(LEFT(F110,6)="Header","",INDEX('Pricing (Drugs) SS'!$D:$D,MATCH(F110,'Pricing (Drugs) SS'!$A:$A,0)))</f>
        <v>0009-0013-06</v>
      </c>
      <c r="F110" s="119">
        <v>1000650</v>
      </c>
      <c r="G110" s="214" t="str">
        <f>IF(LEFT(F110,6)="Header","",INDEX('Tiered Cart Pricing Formulas'!$N:$N,MATCH(F110,'Tiered Cart Pricing Formulas'!$F:$F,0)))</f>
        <v/>
      </c>
      <c r="H110" s="269"/>
      <c r="I110" s="270"/>
      <c r="J110" s="214" t="str">
        <f>IF(M110="header","",INDEX('Tiered Cart Pricing Formulas'!$N:$N,MATCH(F110,'Tiered Cart Pricing Formulas'!$F:$F,0)))</f>
        <v/>
      </c>
      <c r="K110" s="268" t="str">
        <f>IF(LEFT(F110,6)="header","",INDEX('Tiered Cart Pricing Formulas'!$M:$M,MATCH(F110,'Tiered Cart Pricing Formulas'!$F:$F,0)))</f>
        <v/>
      </c>
      <c r="L110" s="268" cm="1">
        <f t="array" aca="1" ref="L110" ca="1">CELL("protect",A110)</f>
        <v>0</v>
      </c>
      <c r="M110" s="268" t="str">
        <f t="shared" si="2"/>
        <v>100065</v>
      </c>
      <c r="N110" s="268" t="str">
        <f t="shared" ca="1" si="3"/>
        <v>Good</v>
      </c>
      <c r="O110" s="268" t="str">
        <f>IF(M110="header","",INDEX('Tiered Cart Pricing Formulas'!$O:$O,MATCH(F110,'Tiered Cart Pricing Formulas'!$F:$F,0)))</f>
        <v/>
      </c>
    </row>
    <row r="111" spans="1:15" ht="15.75" x14ac:dyDescent="0.25">
      <c r="A111" s="118"/>
      <c r="B111" s="49" t="str">
        <f>INDEX('Pricing (Drugs) SS'!$B:$B,MATCH(F111,'Pricing (Drugs) SS'!$A:$A,0))</f>
        <v>HYALURONIDASE</v>
      </c>
      <c r="C111" s="50" t="str">
        <f>IF(LEFT(F111,6)="Header","",INDEX('Pricing (Drugs) SS'!$E:$E,MATCH(F111,'Pricing (Drugs) SS'!$A:$A,0)))</f>
        <v/>
      </c>
      <c r="D111" s="49" t="str">
        <f>IF(LEFT(F111,6)="header","",INDEX('Pricing (Drugs) SS'!$F:$F,MATCH(F111,'Pricing (Drugs) SS'!$A:$A,0)))</f>
        <v/>
      </c>
      <c r="E111" s="51" t="str">
        <f>IF(LEFT(F111,6)="Header","",INDEX('Pricing (Drugs) SS'!$D:$D,MATCH(F111,'Pricing (Drugs) SS'!$A:$A,0)))</f>
        <v/>
      </c>
      <c r="F111" s="119" t="s">
        <v>1569</v>
      </c>
      <c r="G111" s="214" t="str">
        <f>IF(LEFT(F111,6)="Header","",INDEX('Tiered Cart Pricing Formulas'!$N:$N,MATCH(F111,'Tiered Cart Pricing Formulas'!$F:$F,0)))</f>
        <v/>
      </c>
      <c r="H111" s="51"/>
      <c r="I111" s="272"/>
      <c r="J111" s="214" t="str">
        <f>IF(M111="header","",INDEX('Tiered Cart Pricing Formulas'!$N:$N,MATCH(F111,'Tiered Cart Pricing Formulas'!$F:$F,0)))</f>
        <v/>
      </c>
      <c r="K111" s="268" t="str">
        <f>IF(LEFT(F111,6)="header","",INDEX('Tiered Cart Pricing Formulas'!$M:$M,MATCH(F111,'Tiered Cart Pricing Formulas'!$F:$F,0)))</f>
        <v/>
      </c>
      <c r="L111" s="268" cm="1">
        <f t="array" aca="1" ref="L111" ca="1">CELL("protect",A111)</f>
        <v>1</v>
      </c>
      <c r="M111" s="268" t="str">
        <f t="shared" si="2"/>
        <v>HEADER</v>
      </c>
      <c r="N111" s="268" t="str">
        <f t="shared" ca="1" si="3"/>
        <v>Good</v>
      </c>
      <c r="O111" s="268" t="str">
        <f>IF(M111="header","",INDEX('Tiered Cart Pricing Formulas'!$O:$O,MATCH(F111,'Tiered Cart Pricing Formulas'!$F:$F,0)))</f>
        <v/>
      </c>
    </row>
    <row r="112" spans="1:15" ht="15.75" x14ac:dyDescent="0.25">
      <c r="A112" s="48"/>
      <c r="B112" s="49" t="str">
        <f>INDEX('Pricing (Drugs) SS'!$B:$B,MATCH(F112,'Pricing (Drugs) SS'!$A:$A,0))</f>
        <v>HYLENEX® RECOMBINANT 1mL (HYALURONIDASE HUMAN INJECTION) 150 USP UNITS/mL 1mL VIAL</v>
      </c>
      <c r="C112" s="50" t="str">
        <f>IF(LEFT(F112,6)="Header","",INDEX('Pricing (Drugs) SS'!$E:$E,MATCH(F112,'Pricing (Drugs) SS'!$A:$A,0)))</f>
        <v>150 USP Units/mL</v>
      </c>
      <c r="D112" s="49" t="str">
        <f>IF(LEFT(F112,6)="header","",INDEX('Pricing (Drugs) SS'!$F:$F,MATCH(F112,'Pricing (Drugs) SS'!$A:$A,0)))</f>
        <v>1mL</v>
      </c>
      <c r="E112" s="51" t="str">
        <f>IF(LEFT(F112,6)="Header","",INDEX('Pricing (Drugs) SS'!$D:$D,MATCH(F112,'Pricing (Drugs) SS'!$A:$A,0)))</f>
        <v>18657-117-04</v>
      </c>
      <c r="F112" s="119">
        <v>1016120</v>
      </c>
      <c r="G112" s="214" t="str">
        <f>IF(LEFT(F112,6)="Header","",INDEX('Tiered Cart Pricing Formulas'!$N:$N,MATCH(F112,'Tiered Cart Pricing Formulas'!$F:$F,0)))</f>
        <v/>
      </c>
      <c r="H112" s="269"/>
      <c r="I112" s="270"/>
      <c r="J112" s="214" t="str">
        <f>IF(M112="header","",INDEX('Tiered Cart Pricing Formulas'!$N:$N,MATCH(F112,'Tiered Cart Pricing Formulas'!$F:$F,0)))</f>
        <v/>
      </c>
      <c r="K112" s="268" t="str">
        <f>IF(LEFT(F112,6)="header","",INDEX('Tiered Cart Pricing Formulas'!$M:$M,MATCH(F112,'Tiered Cart Pricing Formulas'!$F:$F,0)))</f>
        <v>C</v>
      </c>
      <c r="L112" s="268" cm="1">
        <f t="array" aca="1" ref="L112" ca="1">CELL("protect",A112)</f>
        <v>0</v>
      </c>
      <c r="M112" s="268" t="str">
        <f t="shared" si="2"/>
        <v>101612</v>
      </c>
      <c r="N112" s="268" t="str">
        <f t="shared" ca="1" si="3"/>
        <v>Good</v>
      </c>
      <c r="O112" s="268" t="str">
        <f>IF(M112="header","",INDEX('Tiered Cart Pricing Formulas'!$O:$O,MATCH(F112,'Tiered Cart Pricing Formulas'!$F:$F,0)))</f>
        <v/>
      </c>
    </row>
    <row r="113" spans="1:15" ht="15.75" x14ac:dyDescent="0.25">
      <c r="A113" s="118"/>
      <c r="B113" s="49" t="str">
        <f>INDEX('Pricing (Drugs) SS'!$B:$B,MATCH(F113,'Pricing (Drugs) SS'!$A:$A,0))</f>
        <v>KETOROLAC TROMETHAMINE/TORADOL</v>
      </c>
      <c r="C113" s="50" t="str">
        <f>IF(LEFT(F113,6)="Header","",INDEX('Pricing (Drugs) SS'!$E:$E,MATCH(F113,'Pricing (Drugs) SS'!$A:$A,0)))</f>
        <v/>
      </c>
      <c r="D113" s="49" t="str">
        <f>IF(LEFT(F113,6)="header","",INDEX('Pricing (Drugs) SS'!$F:$F,MATCH(F113,'Pricing (Drugs) SS'!$A:$A,0)))</f>
        <v/>
      </c>
      <c r="E113" s="51" t="str">
        <f>IF(LEFT(F113,6)="Header","",INDEX('Pricing (Drugs) SS'!$D:$D,MATCH(F113,'Pricing (Drugs) SS'!$A:$A,0)))</f>
        <v/>
      </c>
      <c r="F113" s="119" t="s">
        <v>1570</v>
      </c>
      <c r="G113" s="214" t="str">
        <f>IF(LEFT(F113,6)="Header","",INDEX('Tiered Cart Pricing Formulas'!$N:$N,MATCH(F113,'Tiered Cart Pricing Formulas'!$F:$F,0)))</f>
        <v/>
      </c>
      <c r="H113" s="51"/>
      <c r="I113" s="272"/>
      <c r="J113" s="214" t="str">
        <f>IF(M113="header","",INDEX('Tiered Cart Pricing Formulas'!$N:$N,MATCH(F113,'Tiered Cart Pricing Formulas'!$F:$F,0)))</f>
        <v/>
      </c>
      <c r="K113" s="268" t="str">
        <f>IF(LEFT(F113,6)="header","",INDEX('Tiered Cart Pricing Formulas'!$M:$M,MATCH(F113,'Tiered Cart Pricing Formulas'!$F:$F,0)))</f>
        <v/>
      </c>
      <c r="L113" s="268" cm="1">
        <f t="array" aca="1" ref="L113" ca="1">CELL("protect",A113)</f>
        <v>1</v>
      </c>
      <c r="M113" s="268" t="str">
        <f t="shared" si="2"/>
        <v>HEADER</v>
      </c>
      <c r="N113" s="268" t="str">
        <f t="shared" ca="1" si="3"/>
        <v>Good</v>
      </c>
      <c r="O113" s="268" t="str">
        <f>IF(M113="header","",INDEX('Tiered Cart Pricing Formulas'!$O:$O,MATCH(F113,'Tiered Cart Pricing Formulas'!$F:$F,0)))</f>
        <v/>
      </c>
    </row>
    <row r="114" spans="1:15" ht="15.75" x14ac:dyDescent="0.25">
      <c r="A114" s="48"/>
      <c r="B114" s="49" t="str">
        <f>INDEX('Pricing (Drugs) SS'!$B:$B,MATCH(F114,'Pricing (Drugs) SS'!$A:$A,0))</f>
        <v>KETOROLAC TROMETHAMINE INJ., USP 30mg/mL 1mL VIAL</v>
      </c>
      <c r="C114" s="50" t="str">
        <f>IF(LEFT(F114,6)="Header","",INDEX('Pricing (Drugs) SS'!$E:$E,MATCH(F114,'Pricing (Drugs) SS'!$A:$A,0)))</f>
        <v>30mg/mL</v>
      </c>
      <c r="D114" s="49" t="str">
        <f>IF(LEFT(F114,6)="header","",INDEX('Pricing (Drugs) SS'!$F:$F,MATCH(F114,'Pricing (Drugs) SS'!$A:$A,0)))</f>
        <v>1mL</v>
      </c>
      <c r="E114" s="51" t="str">
        <f>IF(LEFT(F114,6)="Header","",INDEX('Pricing (Drugs) SS'!$D:$D,MATCH(F114,'Pricing (Drugs) SS'!$A:$A,0)))</f>
        <v>0409-3795-01</v>
      </c>
      <c r="F114" s="119">
        <v>1008010</v>
      </c>
      <c r="G114" s="214" t="str">
        <f>IF(LEFT(F114,6)="Header","",INDEX('Tiered Cart Pricing Formulas'!$N:$N,MATCH(F114,'Tiered Cart Pricing Formulas'!$F:$F,0)))</f>
        <v/>
      </c>
      <c r="H114" s="269"/>
      <c r="I114" s="270"/>
      <c r="J114" s="214" t="str">
        <f>IF(M114="header","",INDEX('Tiered Cart Pricing Formulas'!$N:$N,MATCH(F114,'Tiered Cart Pricing Formulas'!$F:$F,0)))</f>
        <v/>
      </c>
      <c r="K114" s="268" t="str">
        <f>IF(LEFT(F114,6)="header","",INDEX('Tiered Cart Pricing Formulas'!$M:$M,MATCH(F114,'Tiered Cart Pricing Formulas'!$F:$F,0)))</f>
        <v/>
      </c>
      <c r="L114" s="268" cm="1">
        <f t="array" aca="1" ref="L114" ca="1">CELL("protect",A114)</f>
        <v>0</v>
      </c>
      <c r="M114" s="268" t="str">
        <f t="shared" si="2"/>
        <v>100801</v>
      </c>
      <c r="N114" s="268" t="str">
        <f t="shared" ca="1" si="3"/>
        <v>Good</v>
      </c>
      <c r="O114" s="268" t="str">
        <f>IF(M114="header","",INDEX('Tiered Cart Pricing Formulas'!$O:$O,MATCH(F114,'Tiered Cart Pricing Formulas'!$F:$F,0)))</f>
        <v/>
      </c>
    </row>
    <row r="115" spans="1:15" ht="15.75" x14ac:dyDescent="0.25">
      <c r="A115" s="48"/>
      <c r="B115" s="49" t="str">
        <f>INDEX('Pricing (Drugs) SS'!$B:$B,MATCH(F115,'Pricing (Drugs) SS'!$A:$A,0))</f>
        <v>KETOROLAC TROMETHAMINE INJ., USP 60mg/2mL (30mg/mL) 2mL VIAL</v>
      </c>
      <c r="C115" s="50" t="str">
        <f>IF(LEFT(F115,6)="Header","",INDEX('Pricing (Drugs) SS'!$E:$E,MATCH(F115,'Pricing (Drugs) SS'!$A:$A,0)))</f>
        <v>60mg/2mL</v>
      </c>
      <c r="D115" s="49" t="str">
        <f>IF(LEFT(F115,6)="header","",INDEX('Pricing (Drugs) SS'!$F:$F,MATCH(F115,'Pricing (Drugs) SS'!$A:$A,0)))</f>
        <v>2mL</v>
      </c>
      <c r="E115" s="51" t="str">
        <f>IF(LEFT(F115,6)="Header","",INDEX('Pricing (Drugs) SS'!$D:$D,MATCH(F115,'Pricing (Drugs) SS'!$A:$A,0)))</f>
        <v>0409-3796-01</v>
      </c>
      <c r="F115" s="119">
        <v>1008040</v>
      </c>
      <c r="G115" s="214" t="str">
        <f>IF(LEFT(F115,6)="Header","",INDEX('Tiered Cart Pricing Formulas'!$N:$N,MATCH(F115,'Tiered Cart Pricing Formulas'!$F:$F,0)))</f>
        <v/>
      </c>
      <c r="H115" s="269"/>
      <c r="I115" s="270"/>
      <c r="J115" s="214" t="str">
        <f>IF(M115="header","",INDEX('Tiered Cart Pricing Formulas'!$N:$N,MATCH(F115,'Tiered Cart Pricing Formulas'!$F:$F,0)))</f>
        <v/>
      </c>
      <c r="K115" s="268" t="str">
        <f>IF(LEFT(F115,6)="header","",INDEX('Tiered Cart Pricing Formulas'!$M:$M,MATCH(F115,'Tiered Cart Pricing Formulas'!$F:$F,0)))</f>
        <v/>
      </c>
      <c r="L115" s="268" cm="1">
        <f t="array" aca="1" ref="L115" ca="1">CELL("protect",A115)</f>
        <v>0</v>
      </c>
      <c r="M115" s="268" t="str">
        <f t="shared" si="2"/>
        <v>100804</v>
      </c>
      <c r="N115" s="268" t="str">
        <f t="shared" ca="1" si="3"/>
        <v>Good</v>
      </c>
      <c r="O115" s="268" t="str">
        <f>IF(M115="header","",INDEX('Tiered Cart Pricing Formulas'!$O:$O,MATCH(F115,'Tiered Cart Pricing Formulas'!$F:$F,0)))</f>
        <v/>
      </c>
    </row>
    <row r="116" spans="1:15" ht="15.75" x14ac:dyDescent="0.25">
      <c r="A116" s="118"/>
      <c r="B116" s="49" t="str">
        <f>INDEX('Pricing (Drugs) SS'!$B:$B,MATCH(F116,'Pricing (Drugs) SS'!$A:$A,0))</f>
        <v>LABETALOL / METOPROLOL/PROPANOLOL/ESMOLOL</v>
      </c>
      <c r="C116" s="50" t="str">
        <f>IF(LEFT(F116,6)="Header","",INDEX('Pricing (Drugs) SS'!$E:$E,MATCH(F116,'Pricing (Drugs) SS'!$A:$A,0)))</f>
        <v/>
      </c>
      <c r="D116" s="49" t="str">
        <f>IF(LEFT(F116,6)="header","",INDEX('Pricing (Drugs) SS'!$F:$F,MATCH(F116,'Pricing (Drugs) SS'!$A:$A,0)))</f>
        <v/>
      </c>
      <c r="E116" s="51" t="str">
        <f>IF(LEFT(F116,6)="Header","",INDEX('Pricing (Drugs) SS'!$D:$D,MATCH(F116,'Pricing (Drugs) SS'!$A:$A,0)))</f>
        <v/>
      </c>
      <c r="F116" s="119" t="s">
        <v>1571</v>
      </c>
      <c r="G116" s="214" t="str">
        <f>IF(LEFT(F116,6)="Header","",INDEX('Tiered Cart Pricing Formulas'!$N:$N,MATCH(F116,'Tiered Cart Pricing Formulas'!$F:$F,0)))</f>
        <v/>
      </c>
      <c r="H116" s="51"/>
      <c r="I116" s="272"/>
      <c r="J116" s="214" t="str">
        <f>IF(M116="header","",INDEX('Tiered Cart Pricing Formulas'!$N:$N,MATCH(F116,'Tiered Cart Pricing Formulas'!$F:$F,0)))</f>
        <v/>
      </c>
      <c r="K116" s="268" t="str">
        <f>IF(LEFT(F116,6)="header","",INDEX('Tiered Cart Pricing Formulas'!$M:$M,MATCH(F116,'Tiered Cart Pricing Formulas'!$F:$F,0)))</f>
        <v/>
      </c>
      <c r="L116" s="268" cm="1">
        <f t="array" aca="1" ref="L116" ca="1">CELL("protect",A116)</f>
        <v>1</v>
      </c>
      <c r="M116" s="268" t="str">
        <f t="shared" si="2"/>
        <v>HEADER</v>
      </c>
      <c r="N116" s="268" t="str">
        <f t="shared" ca="1" si="3"/>
        <v>Good</v>
      </c>
      <c r="O116" s="268" t="str">
        <f>IF(M116="header","",INDEX('Tiered Cart Pricing Formulas'!$O:$O,MATCH(F116,'Tiered Cart Pricing Formulas'!$F:$F,0)))</f>
        <v/>
      </c>
    </row>
    <row r="117" spans="1:15" ht="15.75" x14ac:dyDescent="0.25">
      <c r="A117" s="48"/>
      <c r="B117" s="49" t="str">
        <f>INDEX('Pricing (Drugs) SS'!$B:$B,MATCH(F117,'Pricing (Drugs) SS'!$A:$A,0))</f>
        <v>ESMOLOL HYDROCHLORIDE INJECTION 100mg per 10mL (10mg/mL) 10mL VIAL</v>
      </c>
      <c r="C117" s="50" t="str">
        <f>IF(LEFT(F117,6)="Header","",INDEX('Pricing (Drugs) SS'!$E:$E,MATCH(F117,'Pricing (Drugs) SS'!$A:$A,0)))</f>
        <v>10mg/mL</v>
      </c>
      <c r="D117" s="49" t="str">
        <f>IF(LEFT(F117,6)="header","",INDEX('Pricing (Drugs) SS'!$F:$F,MATCH(F117,'Pricing (Drugs) SS'!$A:$A,0)))</f>
        <v>10mL</v>
      </c>
      <c r="E117" s="51" t="str">
        <f>IF(LEFT(F117,6)="Header","",INDEX('Pricing (Drugs) SS'!$D:$D,MATCH(F117,'Pricing (Drugs) SS'!$A:$A,0)))</f>
        <v>55150-194-10</v>
      </c>
      <c r="F117" s="119">
        <v>1012640</v>
      </c>
      <c r="G117" s="214" t="str">
        <f>IF(LEFT(F117,6)="Header","",INDEX('Tiered Cart Pricing Formulas'!$N:$N,MATCH(F117,'Tiered Cart Pricing Formulas'!$F:$F,0)))</f>
        <v/>
      </c>
      <c r="H117" s="269"/>
      <c r="I117" s="270"/>
      <c r="J117" s="214" t="str">
        <f>IF(M117="header","",INDEX('Tiered Cart Pricing Formulas'!$N:$N,MATCH(F117,'Tiered Cart Pricing Formulas'!$F:$F,0)))</f>
        <v/>
      </c>
      <c r="K117" s="268" t="str">
        <f>IF(LEFT(F117,6)="header","",INDEX('Tiered Cart Pricing Formulas'!$M:$M,MATCH(F117,'Tiered Cart Pricing Formulas'!$F:$F,0)))</f>
        <v/>
      </c>
      <c r="L117" s="268" cm="1">
        <f t="array" aca="1" ref="L117" ca="1">CELL("protect",A117)</f>
        <v>0</v>
      </c>
      <c r="M117" s="268" t="str">
        <f t="shared" si="2"/>
        <v>101264</v>
      </c>
      <c r="N117" s="268" t="str">
        <f t="shared" ca="1" si="3"/>
        <v>Good</v>
      </c>
      <c r="O117" s="268" t="str">
        <f>IF(M117="header","",INDEX('Tiered Cart Pricing Formulas'!$O:$O,MATCH(F117,'Tiered Cart Pricing Formulas'!$F:$F,0)))</f>
        <v/>
      </c>
    </row>
    <row r="118" spans="1:15" ht="15.75" x14ac:dyDescent="0.25">
      <c r="A118" s="48"/>
      <c r="B118" s="49" t="str">
        <f>INDEX('Pricing (Drugs) SS'!$B:$B,MATCH(F118,'Pricing (Drugs) SS'!$A:$A,0))</f>
        <v>LABETALOL HCl INJECTION, USP 100mg/20mL (5mg/mL) 20mL VIAL BOXED</v>
      </c>
      <c r="C118" s="50" t="str">
        <f>IF(LEFT(F118,6)="Header","",INDEX('Pricing (Drugs) SS'!$E:$E,MATCH(F118,'Pricing (Drugs) SS'!$A:$A,0)))</f>
        <v>5mg/mL</v>
      </c>
      <c r="D118" s="49" t="str">
        <f>IF(LEFT(F118,6)="header","",INDEX('Pricing (Drugs) SS'!$F:$F,MATCH(F118,'Pricing (Drugs) SS'!$A:$A,0)))</f>
        <v>20mL</v>
      </c>
      <c r="E118" s="51" t="str">
        <f>IF(LEFT(F118,6)="Header","",INDEX('Pricing (Drugs) SS'!$D:$D,MATCH(F118,'Pricing (Drugs) SS'!$A:$A,0)))</f>
        <v>0143-9622-01</v>
      </c>
      <c r="F118" s="119">
        <v>1018070</v>
      </c>
      <c r="G118" s="214" t="str">
        <f>IF(LEFT(F118,6)="Header","",INDEX('Tiered Cart Pricing Formulas'!$N:$N,MATCH(F118,'Tiered Cart Pricing Formulas'!$F:$F,0)))</f>
        <v/>
      </c>
      <c r="H118" s="269"/>
      <c r="I118" s="270"/>
      <c r="J118" s="214" t="str">
        <f>IF(M118="header","",INDEX('Tiered Cart Pricing Formulas'!$N:$N,MATCH(F118,'Tiered Cart Pricing Formulas'!$F:$F,0)))</f>
        <v/>
      </c>
      <c r="K118" s="268" t="str">
        <f>IF(LEFT(F118,6)="header","",INDEX('Tiered Cart Pricing Formulas'!$M:$M,MATCH(F118,'Tiered Cart Pricing Formulas'!$F:$F,0)))</f>
        <v/>
      </c>
      <c r="L118" s="268" cm="1">
        <f t="array" aca="1" ref="L118" ca="1">CELL("protect",A118)</f>
        <v>0</v>
      </c>
      <c r="M118" s="268" t="str">
        <f t="shared" si="2"/>
        <v>101807</v>
      </c>
      <c r="N118" s="268" t="str">
        <f t="shared" ca="1" si="3"/>
        <v>Good</v>
      </c>
      <c r="O118" s="268" t="str">
        <f>IF(M118="header","",INDEX('Tiered Cart Pricing Formulas'!$O:$O,MATCH(F118,'Tiered Cart Pricing Formulas'!$F:$F,0)))</f>
        <v/>
      </c>
    </row>
    <row r="119" spans="1:15" ht="15.75" x14ac:dyDescent="0.25">
      <c r="A119" s="48"/>
      <c r="B119" s="49" t="str">
        <f>INDEX('Pricing (Drugs) SS'!$B:$B,MATCH(F119,'Pricing (Drugs) SS'!$A:$A,0))</f>
        <v>METOPROLOL TARTRATE INJECTION, USP 5mg/5mL (1mg PER mL) 5mL VIAL</v>
      </c>
      <c r="C119" s="50" t="str">
        <f>IF(LEFT(F119,6)="Header","",INDEX('Pricing (Drugs) SS'!$E:$E,MATCH(F119,'Pricing (Drugs) SS'!$A:$A,0)))</f>
        <v>1mg/mL</v>
      </c>
      <c r="D119" s="49" t="str">
        <f>IF(LEFT(F119,6)="header","",INDEX('Pricing (Drugs) SS'!$F:$F,MATCH(F119,'Pricing (Drugs) SS'!$A:$A,0)))</f>
        <v>5mL</v>
      </c>
      <c r="E119" s="51" t="str">
        <f>IF(LEFT(F119,6)="Header","",INDEX('Pricing (Drugs) SS'!$D:$D,MATCH(F119,'Pricing (Drugs) SS'!$A:$A,0)))</f>
        <v>0409-1778-05</v>
      </c>
      <c r="F119" s="119">
        <v>1012980</v>
      </c>
      <c r="G119" s="214" t="str">
        <f>IF(LEFT(F119,6)="Header","",INDEX('Tiered Cart Pricing Formulas'!$N:$N,MATCH(F119,'Tiered Cart Pricing Formulas'!$F:$F,0)))</f>
        <v/>
      </c>
      <c r="H119" s="269"/>
      <c r="I119" s="270"/>
      <c r="J119" s="214" t="str">
        <f>IF(M119="header","",INDEX('Tiered Cart Pricing Formulas'!$N:$N,MATCH(F119,'Tiered Cart Pricing Formulas'!$F:$F,0)))</f>
        <v/>
      </c>
      <c r="K119" s="268" t="str">
        <f>IF(LEFT(F119,6)="header","",INDEX('Tiered Cart Pricing Formulas'!$M:$M,MATCH(F119,'Tiered Cart Pricing Formulas'!$F:$F,0)))</f>
        <v/>
      </c>
      <c r="L119" s="268" cm="1">
        <f t="array" aca="1" ref="L119" ca="1">CELL("protect",A119)</f>
        <v>0</v>
      </c>
      <c r="M119" s="268" t="str">
        <f t="shared" si="2"/>
        <v>101298</v>
      </c>
      <c r="N119" s="268" t="str">
        <f t="shared" ca="1" si="3"/>
        <v>Good</v>
      </c>
      <c r="O119" s="268" t="str">
        <f>IF(M119="header","",INDEX('Tiered Cart Pricing Formulas'!$O:$O,MATCH(F119,'Tiered Cart Pricing Formulas'!$F:$F,0)))</f>
        <v/>
      </c>
    </row>
    <row r="120" spans="1:15" ht="15.75" x14ac:dyDescent="0.25">
      <c r="A120" s="48"/>
      <c r="B120" s="49" t="str">
        <f>INDEX('Pricing (Drugs) SS'!$B:$B,MATCH(F120,'Pricing (Drugs) SS'!$A:$A,0))</f>
        <v>PROPRANOLOL HYDROCHLORIDE INJECTION, USP 1mg/mL 1mL VIAL</v>
      </c>
      <c r="C120" s="50" t="str">
        <f>IF(LEFT(F120,6)="Header","",INDEX('Pricing (Drugs) SS'!$E:$E,MATCH(F120,'Pricing (Drugs) SS'!$A:$A,0)))</f>
        <v>1mg/mL</v>
      </c>
      <c r="D120" s="49" t="str">
        <f>IF(LEFT(F120,6)="header","",INDEX('Pricing (Drugs) SS'!$F:$F,MATCH(F120,'Pricing (Drugs) SS'!$A:$A,0)))</f>
        <v>1mL</v>
      </c>
      <c r="E120" s="51" t="str">
        <f>IF(LEFT(F120,6)="Header","",INDEX('Pricing (Drugs) SS'!$D:$D,MATCH(F120,'Pricing (Drugs) SS'!$A:$A,0)))</f>
        <v>0143-9872-10</v>
      </c>
      <c r="F120" s="119">
        <v>1010110</v>
      </c>
      <c r="G120" s="214" t="str">
        <f>IF(LEFT(F120,6)="Header","",INDEX('Tiered Cart Pricing Formulas'!$N:$N,MATCH(F120,'Tiered Cart Pricing Formulas'!$F:$F,0)))</f>
        <v/>
      </c>
      <c r="H120" s="269"/>
      <c r="I120" s="270"/>
      <c r="J120" s="214" t="str">
        <f>IF(M120="header","",INDEX('Tiered Cart Pricing Formulas'!$N:$N,MATCH(F120,'Tiered Cart Pricing Formulas'!$F:$F,0)))</f>
        <v/>
      </c>
      <c r="K120" s="268" t="str">
        <f>IF(LEFT(F120,6)="header","",INDEX('Tiered Cart Pricing Formulas'!$M:$M,MATCH(F120,'Tiered Cart Pricing Formulas'!$F:$F,0)))</f>
        <v/>
      </c>
      <c r="L120" s="268" cm="1">
        <f t="array" aca="1" ref="L120" ca="1">CELL("protect",A120)</f>
        <v>0</v>
      </c>
      <c r="M120" s="268" t="str">
        <f t="shared" si="2"/>
        <v>101011</v>
      </c>
      <c r="N120" s="268" t="str">
        <f t="shared" ca="1" si="3"/>
        <v>Good</v>
      </c>
      <c r="O120" s="268" t="str">
        <f>IF(M120="header","",INDEX('Tiered Cart Pricing Formulas'!$O:$O,MATCH(F120,'Tiered Cart Pricing Formulas'!$F:$F,0)))</f>
        <v/>
      </c>
    </row>
    <row r="121" spans="1:15" ht="15.75" x14ac:dyDescent="0.25">
      <c r="A121" s="118"/>
      <c r="B121" s="49" t="str">
        <f>INDEX('Pricing (Drugs) SS'!$B:$B,MATCH(F121,'Pricing (Drugs) SS'!$A:$A,0))</f>
        <v>LACTATED RINGER'S</v>
      </c>
      <c r="C121" s="50" t="str">
        <f>IF(LEFT(F121,6)="Header","",INDEX('Pricing (Drugs) SS'!$E:$E,MATCH(F121,'Pricing (Drugs) SS'!$A:$A,0)))</f>
        <v/>
      </c>
      <c r="D121" s="49" t="str">
        <f>IF(LEFT(F121,6)="header","",INDEX('Pricing (Drugs) SS'!$F:$F,MATCH(F121,'Pricing (Drugs) SS'!$A:$A,0)))</f>
        <v/>
      </c>
      <c r="E121" s="51" t="str">
        <f>IF(LEFT(F121,6)="Header","",INDEX('Pricing (Drugs) SS'!$D:$D,MATCH(F121,'Pricing (Drugs) SS'!$A:$A,0)))</f>
        <v/>
      </c>
      <c r="F121" s="119" t="s">
        <v>1572</v>
      </c>
      <c r="G121" s="214" t="str">
        <f>IF(LEFT(F121,6)="Header","",INDEX('Tiered Cart Pricing Formulas'!$N:$N,MATCH(F121,'Tiered Cart Pricing Formulas'!$F:$F,0)))</f>
        <v/>
      </c>
      <c r="H121" s="51"/>
      <c r="I121" s="272"/>
      <c r="J121" s="214" t="str">
        <f>IF(M121="header","",INDEX('Tiered Cart Pricing Formulas'!$N:$N,MATCH(F121,'Tiered Cart Pricing Formulas'!$F:$F,0)))</f>
        <v/>
      </c>
      <c r="K121" s="268" t="str">
        <f>IF(LEFT(F121,6)="header","",INDEX('Tiered Cart Pricing Formulas'!$M:$M,MATCH(F121,'Tiered Cart Pricing Formulas'!$F:$F,0)))</f>
        <v/>
      </c>
      <c r="L121" s="268" cm="1">
        <f t="array" aca="1" ref="L121" ca="1">CELL("protect",A121)</f>
        <v>1</v>
      </c>
      <c r="M121" s="268" t="str">
        <f t="shared" si="2"/>
        <v>HEADER</v>
      </c>
      <c r="N121" s="268" t="str">
        <f t="shared" ca="1" si="3"/>
        <v>Good</v>
      </c>
      <c r="O121" s="268" t="str">
        <f>IF(M121="header","",INDEX('Tiered Cart Pricing Formulas'!$O:$O,MATCH(F121,'Tiered Cart Pricing Formulas'!$F:$F,0)))</f>
        <v/>
      </c>
    </row>
    <row r="122" spans="1:15" ht="15.75" x14ac:dyDescent="0.25">
      <c r="A122" s="48"/>
      <c r="B122" s="49" t="str">
        <f>INDEX('Pricing (Drugs) SS'!$B:$B,MATCH(F122,'Pricing (Drugs) SS'!$A:$A,0))</f>
        <v>LACTATED RINGER'S AND 5% DEXTROSE INJECTION, USP 1000mL BAG</v>
      </c>
      <c r="C122" s="50" t="str">
        <f>IF(LEFT(F122,6)="Header","",INDEX('Pricing (Drugs) SS'!$E:$E,MATCH(F122,'Pricing (Drugs) SS'!$A:$A,0)))</f>
        <v>600mg/100mL</v>
      </c>
      <c r="D122" s="49" t="str">
        <f>IF(LEFT(F122,6)="header","",INDEX('Pricing (Drugs) SS'!$F:$F,MATCH(F122,'Pricing (Drugs) SS'!$A:$A,0)))</f>
        <v>1000mL</v>
      </c>
      <c r="E122" s="51" t="str">
        <f>IF(LEFT(F122,6)="Header","",INDEX('Pricing (Drugs) SS'!$D:$D,MATCH(F122,'Pricing (Drugs) SS'!$A:$A,0)))</f>
        <v>0990-7929-09</v>
      </c>
      <c r="F122" s="119">
        <v>1014210</v>
      </c>
      <c r="G122" s="214" t="str">
        <f>IF(LEFT(F122,6)="Header","",INDEX('Tiered Cart Pricing Formulas'!$N:$N,MATCH(F122,'Tiered Cart Pricing Formulas'!$F:$F,0)))</f>
        <v/>
      </c>
      <c r="H122" s="269"/>
      <c r="I122" s="270"/>
      <c r="J122" s="214" t="str">
        <f>IF(M122="header","",INDEX('Tiered Cart Pricing Formulas'!$N:$N,MATCH(F122,'Tiered Cart Pricing Formulas'!$F:$F,0)))</f>
        <v/>
      </c>
      <c r="K122" s="268" t="str">
        <f>IF(LEFT(F122,6)="header","",INDEX('Tiered Cart Pricing Formulas'!$M:$M,MATCH(F122,'Tiered Cart Pricing Formulas'!$F:$F,0)))</f>
        <v/>
      </c>
      <c r="L122" s="268" cm="1">
        <f t="array" aca="1" ref="L122" ca="1">CELL("protect",A122)</f>
        <v>0</v>
      </c>
      <c r="M122" s="268" t="str">
        <f t="shared" si="2"/>
        <v>101421</v>
      </c>
      <c r="N122" s="268" t="str">
        <f t="shared" ca="1" si="3"/>
        <v>Good</v>
      </c>
      <c r="O122" s="268" t="str">
        <f>IF(M122="header","",INDEX('Tiered Cart Pricing Formulas'!$O:$O,MATCH(F122,'Tiered Cart Pricing Formulas'!$F:$F,0)))</f>
        <v/>
      </c>
    </row>
    <row r="123" spans="1:15" ht="15.75" x14ac:dyDescent="0.25">
      <c r="A123" s="48"/>
      <c r="B123" s="49" t="str">
        <f>INDEX('Pricing (Drugs) SS'!$B:$B,MATCH(F123,'Pricing (Drugs) SS'!$A:$A,0))</f>
        <v>LACTATED RINGER'S INJECTION, USP 1000mL BAG</v>
      </c>
      <c r="C123" s="50">
        <f>IF(LEFT(F123,6)="Header","",INDEX('Pricing (Drugs) SS'!$E:$E,MATCH(F123,'Pricing (Drugs) SS'!$A:$A,0)))</f>
        <v>0</v>
      </c>
      <c r="D123" s="49" t="str">
        <f>IF(LEFT(F123,6)="header","",INDEX('Pricing (Drugs) SS'!$F:$F,MATCH(F123,'Pricing (Drugs) SS'!$A:$A,0)))</f>
        <v>1000mL</v>
      </c>
      <c r="E123" s="51" t="str">
        <f>IF(LEFT(F123,6)="Header","",INDEX('Pricing (Drugs) SS'!$D:$D,MATCH(F123,'Pricing (Drugs) SS'!$A:$A,0)))</f>
        <v>0990-7953-09</v>
      </c>
      <c r="F123" s="119">
        <v>1013810</v>
      </c>
      <c r="G123" s="214" t="str">
        <f>IF(LEFT(F123,6)="Header","",INDEX('Tiered Cart Pricing Formulas'!$N:$N,MATCH(F123,'Tiered Cart Pricing Formulas'!$F:$F,0)))</f>
        <v/>
      </c>
      <c r="H123" s="269"/>
      <c r="I123" s="270"/>
      <c r="J123" s="214" t="str">
        <f>IF(M123="header","",INDEX('Tiered Cart Pricing Formulas'!$N:$N,MATCH(F123,'Tiered Cart Pricing Formulas'!$F:$F,0)))</f>
        <v/>
      </c>
      <c r="K123" s="268" t="str">
        <f>IF(LEFT(F123,6)="header","",INDEX('Tiered Cart Pricing Formulas'!$M:$M,MATCH(F123,'Tiered Cart Pricing Formulas'!$F:$F,0)))</f>
        <v/>
      </c>
      <c r="L123" s="268" cm="1">
        <f t="array" aca="1" ref="L123" ca="1">CELL("protect",A123)</f>
        <v>0</v>
      </c>
      <c r="M123" s="268" t="str">
        <f t="shared" si="2"/>
        <v>101381</v>
      </c>
      <c r="N123" s="268" t="str">
        <f t="shared" ca="1" si="3"/>
        <v>Good</v>
      </c>
      <c r="O123" s="268" t="str">
        <f>IF(M123="header","",INDEX('Tiered Cart Pricing Formulas'!$O:$O,MATCH(F123,'Tiered Cart Pricing Formulas'!$F:$F,0)))</f>
        <v/>
      </c>
    </row>
    <row r="124" spans="1:15" ht="15.75" x14ac:dyDescent="0.25">
      <c r="A124" s="118"/>
      <c r="B124" s="49" t="str">
        <f>INDEX('Pricing (Drugs) SS'!$B:$B,MATCH(F124,'Pricing (Drugs) SS'!$A:$A,0))</f>
        <v>LIDOCAINE/XYLOCAINE/LIGNOCAINE</v>
      </c>
      <c r="C124" s="50" t="str">
        <f>IF(LEFT(F124,6)="Header","",INDEX('Pricing (Drugs) SS'!$E:$E,MATCH(F124,'Pricing (Drugs) SS'!$A:$A,0)))</f>
        <v/>
      </c>
      <c r="D124" s="49" t="str">
        <f>IF(LEFT(F124,6)="header","",INDEX('Pricing (Drugs) SS'!$F:$F,MATCH(F124,'Pricing (Drugs) SS'!$A:$A,0)))</f>
        <v/>
      </c>
      <c r="E124" s="51" t="str">
        <f>IF(LEFT(F124,6)="Header","",INDEX('Pricing (Drugs) SS'!$D:$D,MATCH(F124,'Pricing (Drugs) SS'!$A:$A,0)))</f>
        <v/>
      </c>
      <c r="F124" s="119" t="s">
        <v>1573</v>
      </c>
      <c r="G124" s="214" t="str">
        <f>IF(LEFT(F124,6)="Header","",INDEX('Tiered Cart Pricing Formulas'!$N:$N,MATCH(F124,'Tiered Cart Pricing Formulas'!$F:$F,0)))</f>
        <v/>
      </c>
      <c r="H124" s="51"/>
      <c r="I124" s="272"/>
      <c r="J124" s="214" t="str">
        <f>IF(M124="header","",INDEX('Tiered Cart Pricing Formulas'!$N:$N,MATCH(F124,'Tiered Cart Pricing Formulas'!$F:$F,0)))</f>
        <v/>
      </c>
      <c r="K124" s="268" t="str">
        <f>IF(LEFT(F124,6)="header","",INDEX('Tiered Cart Pricing Formulas'!$M:$M,MATCH(F124,'Tiered Cart Pricing Formulas'!$F:$F,0)))</f>
        <v/>
      </c>
      <c r="L124" s="268" cm="1">
        <f t="array" aca="1" ref="L124" ca="1">CELL("protect",A124)</f>
        <v>1</v>
      </c>
      <c r="M124" s="268" t="str">
        <f t="shared" si="2"/>
        <v>HEADER</v>
      </c>
      <c r="N124" s="268" t="str">
        <f t="shared" ca="1" si="3"/>
        <v>Good</v>
      </c>
      <c r="O124" s="268" t="str">
        <f>IF(M124="header","",INDEX('Tiered Cart Pricing Formulas'!$O:$O,MATCH(F124,'Tiered Cart Pricing Formulas'!$F:$F,0)))</f>
        <v/>
      </c>
    </row>
    <row r="125" spans="1:15" ht="15.75" x14ac:dyDescent="0.25">
      <c r="A125" s="48"/>
      <c r="B125" s="49" t="str">
        <f>INDEX('Pricing (Drugs) SS'!$B:$B,MATCH(F125,'Pricing (Drugs) SS'!$A:$A,0))</f>
        <v>LIDOCAINE HCI INJECTION, USP 2% (1000mg/50mL) (20mg/mL) 50 mL VIAL</v>
      </c>
      <c r="C125" s="50" t="str">
        <f>IF(LEFT(F125,6)="Header","",INDEX('Pricing (Drugs) SS'!$E:$E,MATCH(F125,'Pricing (Drugs) SS'!$A:$A,0)))</f>
        <v>20 mg/mL</v>
      </c>
      <c r="D125" s="49" t="str">
        <f>IF(LEFT(F125,6)="header","",INDEX('Pricing (Drugs) SS'!$F:$F,MATCH(F125,'Pricing (Drugs) SS'!$A:$A,0)))</f>
        <v>50 mL</v>
      </c>
      <c r="E125" s="51" t="str">
        <f>IF(LEFT(F125,6)="Header","",INDEX('Pricing (Drugs) SS'!$D:$D,MATCH(F125,'Pricing (Drugs) SS'!$A:$A,0)))</f>
        <v>0143-9575-10</v>
      </c>
      <c r="F125" s="119">
        <v>1012280</v>
      </c>
      <c r="G125" s="214" t="str">
        <f>IF(LEFT(F125,6)="Header","",INDEX('Tiered Cart Pricing Formulas'!$N:$N,MATCH(F125,'Tiered Cart Pricing Formulas'!$F:$F,0)))</f>
        <v/>
      </c>
      <c r="H125" s="269"/>
      <c r="I125" s="270"/>
      <c r="J125" s="214" t="str">
        <f>IF(M125="header","",INDEX('Tiered Cart Pricing Formulas'!$N:$N,MATCH(F125,'Tiered Cart Pricing Formulas'!$F:$F,0)))</f>
        <v/>
      </c>
      <c r="K125" s="268" t="str">
        <f>IF(LEFT(F125,6)="header","",INDEX('Tiered Cart Pricing Formulas'!$M:$M,MATCH(F125,'Tiered Cart Pricing Formulas'!$F:$F,0)))</f>
        <v/>
      </c>
      <c r="L125" s="268" cm="1">
        <f t="array" aca="1" ref="L125" ca="1">CELL("protect",A125)</f>
        <v>0</v>
      </c>
      <c r="M125" s="268" t="str">
        <f t="shared" si="2"/>
        <v>101228</v>
      </c>
      <c r="N125" s="268" t="str">
        <f t="shared" ca="1" si="3"/>
        <v>Good</v>
      </c>
      <c r="O125" s="268" t="str">
        <f>IF(M125="header","",INDEX('Tiered Cart Pricing Formulas'!$O:$O,MATCH(F125,'Tiered Cart Pricing Formulas'!$F:$F,0)))</f>
        <v/>
      </c>
    </row>
    <row r="126" spans="1:15" ht="15.75" x14ac:dyDescent="0.25">
      <c r="A126" s="48"/>
      <c r="B126" s="49" t="str">
        <f>INDEX('Pricing (Drugs) SS'!$B:$B,MATCH(F126,'Pricing (Drugs) SS'!$A:$A,0))</f>
        <v>LIDOCAINE HCl INJECTION, USP 1% (50mg/5mL) (10mg/mL) 5 mL VIAL</v>
      </c>
      <c r="C126" s="50" t="str">
        <f>IF(LEFT(F126,6)="Header","",INDEX('Pricing (Drugs) SS'!$E:$E,MATCH(F126,'Pricing (Drugs) SS'!$A:$A,0)))</f>
        <v>10mg/mL</v>
      </c>
      <c r="D126" s="49" t="str">
        <f>IF(LEFT(F126,6)="header","",INDEX('Pricing (Drugs) SS'!$F:$F,MATCH(F126,'Pricing (Drugs) SS'!$A:$A,0)))</f>
        <v>5mL</v>
      </c>
      <c r="E126" s="51" t="str">
        <f>IF(LEFT(F126,6)="Header","",INDEX('Pricing (Drugs) SS'!$D:$D,MATCH(F126,'Pricing (Drugs) SS'!$A:$A,0)))</f>
        <v>0143-9595-25</v>
      </c>
      <c r="F126" s="119">
        <v>1012580</v>
      </c>
      <c r="G126" s="214" t="str">
        <f>IF(LEFT(F126,6)="Header","",INDEX('Tiered Cart Pricing Formulas'!$N:$N,MATCH(F126,'Tiered Cart Pricing Formulas'!$F:$F,0)))</f>
        <v/>
      </c>
      <c r="H126" s="269"/>
      <c r="I126" s="270"/>
      <c r="J126" s="214" t="str">
        <f>IF(M126="header","",INDEX('Tiered Cart Pricing Formulas'!$N:$N,MATCH(F126,'Tiered Cart Pricing Formulas'!$F:$F,0)))</f>
        <v/>
      </c>
      <c r="K126" s="268" t="str">
        <f>IF(LEFT(F126,6)="header","",INDEX('Tiered Cart Pricing Formulas'!$M:$M,MATCH(F126,'Tiered Cart Pricing Formulas'!$F:$F,0)))</f>
        <v/>
      </c>
      <c r="L126" s="268" cm="1">
        <f t="array" aca="1" ref="L126" ca="1">CELL("protect",A126)</f>
        <v>0</v>
      </c>
      <c r="M126" s="268" t="str">
        <f t="shared" si="2"/>
        <v>101258</v>
      </c>
      <c r="N126" s="268" t="str">
        <f t="shared" ca="1" si="3"/>
        <v>Good</v>
      </c>
      <c r="O126" s="268" t="str">
        <f>IF(M126="header","",INDEX('Tiered Cart Pricing Formulas'!$O:$O,MATCH(F126,'Tiered Cart Pricing Formulas'!$F:$F,0)))</f>
        <v/>
      </c>
    </row>
    <row r="127" spans="1:15" ht="15.75" x14ac:dyDescent="0.25">
      <c r="A127" s="48"/>
      <c r="B127" s="49" t="str">
        <f>INDEX('Pricing (Drugs) SS'!$B:$B,MATCH(F127,'Pricing (Drugs) SS'!$A:$A,0))</f>
        <v>LIDOCAINE HCI INJECTION, USP 2% (100 mg/5 mL) (20 mg/mL) 5mL VIAL</v>
      </c>
      <c r="C127" s="50" t="str">
        <f>IF(LEFT(F127,6)="Header","",INDEX('Pricing (Drugs) SS'!$E:$E,MATCH(F127,'Pricing (Drugs) SS'!$A:$A,0)))</f>
        <v>20mg/mL</v>
      </c>
      <c r="D127" s="49" t="str">
        <f>IF(LEFT(F127,6)="header","",INDEX('Pricing (Drugs) SS'!$F:$F,MATCH(F127,'Pricing (Drugs) SS'!$A:$A,0)))</f>
        <v>5mL</v>
      </c>
      <c r="E127" s="51" t="str">
        <f>IF(LEFT(F127,6)="Header","",INDEX('Pricing (Drugs) SS'!$D:$D,MATCH(F127,'Pricing (Drugs) SS'!$A:$A,0)))</f>
        <v>0143-9594-25</v>
      </c>
      <c r="F127" s="119">
        <v>1012350</v>
      </c>
      <c r="G127" s="214" t="str">
        <f>IF(LEFT(F127,6)="Header","",INDEX('Tiered Cart Pricing Formulas'!$N:$N,MATCH(F127,'Tiered Cart Pricing Formulas'!$F:$F,0)))</f>
        <v/>
      </c>
      <c r="H127" s="269"/>
      <c r="I127" s="270"/>
      <c r="J127" s="214" t="str">
        <f>IF(M127="header","",INDEX('Tiered Cart Pricing Formulas'!$N:$N,MATCH(F127,'Tiered Cart Pricing Formulas'!$F:$F,0)))</f>
        <v/>
      </c>
      <c r="K127" s="268" t="str">
        <f>IF(LEFT(F127,6)="header","",INDEX('Tiered Cart Pricing Formulas'!$M:$M,MATCH(F127,'Tiered Cart Pricing Formulas'!$F:$F,0)))</f>
        <v/>
      </c>
      <c r="L127" s="268" cm="1">
        <f t="array" aca="1" ref="L127" ca="1">CELL("protect",A127)</f>
        <v>0</v>
      </c>
      <c r="M127" s="268" t="str">
        <f t="shared" si="2"/>
        <v>101235</v>
      </c>
      <c r="N127" s="268" t="str">
        <f t="shared" ca="1" si="3"/>
        <v>Good</v>
      </c>
      <c r="O127" s="268" t="str">
        <f>IF(M127="header","",INDEX('Tiered Cart Pricing Formulas'!$O:$O,MATCH(F127,'Tiered Cart Pricing Formulas'!$F:$F,0)))</f>
        <v/>
      </c>
    </row>
    <row r="128" spans="1:15" ht="15.75" x14ac:dyDescent="0.25">
      <c r="A128" s="48"/>
      <c r="B128" s="49" t="str">
        <f>INDEX('Pricing (Drugs) SS'!$B:$B,MATCH(F128,'Pricing (Drugs) SS'!$A:$A,0))</f>
        <v>XYLOCAINE® (LIDOCAINE HCl &amp; EPI INJ, USP) W/ EPI 1:100,000 1% 200mg/20mL (10mg/mL) 20mL VIAL</v>
      </c>
      <c r="C128" s="50" t="str">
        <f>IF(LEFT(F128,6)="Header","",INDEX('Pricing (Drugs) SS'!$E:$E,MATCH(F128,'Pricing (Drugs) SS'!$A:$A,0)))</f>
        <v>10mg/mL</v>
      </c>
      <c r="D128" s="49" t="str">
        <f>IF(LEFT(F128,6)="header","",INDEX('Pricing (Drugs) SS'!$F:$F,MATCH(F128,'Pricing (Drugs) SS'!$A:$A,0)))</f>
        <v>20mL</v>
      </c>
      <c r="E128" s="51" t="str">
        <f>IF(LEFT(F128,6)="Header","",INDEX('Pricing (Drugs) SS'!$D:$D,MATCH(F128,'Pricing (Drugs) SS'!$A:$A,0)))</f>
        <v>63323-482-27</v>
      </c>
      <c r="F128" s="119">
        <v>1019980</v>
      </c>
      <c r="G128" s="214" t="str">
        <f>IF(LEFT(F128,6)="Header","",INDEX('Tiered Cart Pricing Formulas'!$N:$N,MATCH(F128,'Tiered Cart Pricing Formulas'!$F:$F,0)))</f>
        <v/>
      </c>
      <c r="H128" s="269"/>
      <c r="I128" s="270"/>
      <c r="J128" s="214" t="str">
        <f>IF(M128="header","",INDEX('Tiered Cart Pricing Formulas'!$N:$N,MATCH(F128,'Tiered Cart Pricing Formulas'!$F:$F,0)))</f>
        <v/>
      </c>
      <c r="K128" s="268" t="str">
        <f>IF(LEFT(F128,6)="header","",INDEX('Tiered Cart Pricing Formulas'!$M:$M,MATCH(F128,'Tiered Cart Pricing Formulas'!$F:$F,0)))</f>
        <v/>
      </c>
      <c r="L128" s="268" cm="1">
        <f t="array" aca="1" ref="L128" ca="1">CELL("protect",A128)</f>
        <v>0</v>
      </c>
      <c r="M128" s="268" t="str">
        <f t="shared" si="2"/>
        <v>101998</v>
      </c>
      <c r="N128" s="268" t="str">
        <f t="shared" ca="1" si="3"/>
        <v>Good</v>
      </c>
      <c r="O128" s="268" t="str">
        <f>IF(M128="header","",INDEX('Tiered Cart Pricing Formulas'!$O:$O,MATCH(F128,'Tiered Cart Pricing Formulas'!$F:$F,0)))</f>
        <v/>
      </c>
    </row>
    <row r="129" spans="1:15" ht="15.75" x14ac:dyDescent="0.25">
      <c r="A129" s="48"/>
      <c r="B129" s="49" t="str">
        <f>INDEX('Pricing (Drugs) SS'!$B:$B,MATCH(F129,'Pricing (Drugs) SS'!$A:$A,0))</f>
        <v>XYLOCAINE(R) (LIDOCAINE HCI AND EPINEPHRINE INJECTION, USP) WITH EPINEPHRINE 1:100,000 2% 400mg PER 20mL (20mg PER mL) 20mL VIAL</v>
      </c>
      <c r="C129" s="50" t="str">
        <f>IF(LEFT(F129,6)="Header","",INDEX('Pricing (Drugs) SS'!$E:$E,MATCH(F129,'Pricing (Drugs) SS'!$A:$A,0)))</f>
        <v>2% &amp;1:100,000</v>
      </c>
      <c r="D129" s="49" t="str">
        <f>IF(LEFT(F129,6)="header","",INDEX('Pricing (Drugs) SS'!$F:$F,MATCH(F129,'Pricing (Drugs) SS'!$A:$A,0)))</f>
        <v>20mL</v>
      </c>
      <c r="E129" s="51" t="str">
        <f>IF(LEFT(F129,6)="Header","",INDEX('Pricing (Drugs) SS'!$D:$D,MATCH(F129,'Pricing (Drugs) SS'!$A:$A,0)))</f>
        <v>63323-483-27</v>
      </c>
      <c r="F129" s="119">
        <v>1013700</v>
      </c>
      <c r="G129" s="214" t="str">
        <f>IF(LEFT(F129,6)="Header","",INDEX('Tiered Cart Pricing Formulas'!$N:$N,MATCH(F129,'Tiered Cart Pricing Formulas'!$F:$F,0)))</f>
        <v/>
      </c>
      <c r="H129" s="269"/>
      <c r="I129" s="270"/>
      <c r="J129" s="214" t="str">
        <f>IF(M129="header","",INDEX('Tiered Cart Pricing Formulas'!$N:$N,MATCH(F129,'Tiered Cart Pricing Formulas'!$F:$F,0)))</f>
        <v/>
      </c>
      <c r="K129" s="268" t="str">
        <f>IF(LEFT(F129,6)="header","",INDEX('Tiered Cart Pricing Formulas'!$M:$M,MATCH(F129,'Tiered Cart Pricing Formulas'!$F:$F,0)))</f>
        <v/>
      </c>
      <c r="L129" s="268" cm="1">
        <f t="array" aca="1" ref="L129" ca="1">CELL("protect",A129)</f>
        <v>0</v>
      </c>
      <c r="M129" s="268" t="str">
        <f t="shared" si="2"/>
        <v>101370</v>
      </c>
      <c r="N129" s="268" t="str">
        <f t="shared" ca="1" si="3"/>
        <v>Good</v>
      </c>
      <c r="O129" s="268" t="str">
        <f>IF(M129="header","",INDEX('Tiered Cart Pricing Formulas'!$O:$O,MATCH(F129,'Tiered Cart Pricing Formulas'!$F:$F,0)))</f>
        <v/>
      </c>
    </row>
    <row r="130" spans="1:15" ht="15.75" x14ac:dyDescent="0.25">
      <c r="A130" s="48"/>
      <c r="B130" s="49" t="str">
        <f>INDEX('Pricing (Drugs) SS'!$B:$B,MATCH(F130,'Pricing (Drugs) SS'!$A:$A,0))</f>
        <v>LIDOCAINE HCI INJ., USP, 2% 100 mg per 5 mL 100 mg LUER-JET™ SYR</v>
      </c>
      <c r="C130" s="50" t="str">
        <f>IF(LEFT(F130,6)="Header","",INDEX('Pricing (Drugs) SS'!$E:$E,MATCH(F130,'Pricing (Drugs) SS'!$A:$A,0)))</f>
        <v>20 mg/1 mL</v>
      </c>
      <c r="D130" s="49" t="str">
        <f>IF(LEFT(F130,6)="header","",INDEX('Pricing (Drugs) SS'!$F:$F,MATCH(F130,'Pricing (Drugs) SS'!$A:$A,0)))</f>
        <v>5 mL</v>
      </c>
      <c r="E130" s="51" t="str">
        <f>IF(LEFT(F130,6)="Header","",INDEX('Pricing (Drugs) SS'!$D:$D,MATCH(F130,'Pricing (Drugs) SS'!$A:$A,0)))</f>
        <v>76329-3390-1</v>
      </c>
      <c r="F130" s="119">
        <v>1012400</v>
      </c>
      <c r="G130" s="214" t="str">
        <f>IF(LEFT(F130,6)="Header","",INDEX('Tiered Cart Pricing Formulas'!$N:$N,MATCH(F130,'Tiered Cart Pricing Formulas'!$F:$F,0)))</f>
        <v/>
      </c>
      <c r="H130" s="269"/>
      <c r="I130" s="270"/>
      <c r="J130" s="214" t="str">
        <f>IF(M130="header","",INDEX('Tiered Cart Pricing Formulas'!$N:$N,MATCH(F130,'Tiered Cart Pricing Formulas'!$F:$F,0)))</f>
        <v/>
      </c>
      <c r="K130" s="268" t="str">
        <f>IF(LEFT(F130,6)="header","",INDEX('Tiered Cart Pricing Formulas'!$M:$M,MATCH(F130,'Tiered Cart Pricing Formulas'!$F:$F,0)))</f>
        <v/>
      </c>
      <c r="L130" s="268" cm="1">
        <f t="array" aca="1" ref="L130" ca="1">CELL("protect",A130)</f>
        <v>0</v>
      </c>
      <c r="M130" s="268" t="str">
        <f t="shared" si="2"/>
        <v>101240</v>
      </c>
      <c r="N130" s="268" t="str">
        <f t="shared" ca="1" si="3"/>
        <v>Good</v>
      </c>
      <c r="O130" s="268" t="str">
        <f>IF(M130="header","",INDEX('Tiered Cart Pricing Formulas'!$O:$O,MATCH(F130,'Tiered Cart Pricing Formulas'!$F:$F,0)))</f>
        <v/>
      </c>
    </row>
    <row r="131" spans="1:15" ht="15.75" x14ac:dyDescent="0.25">
      <c r="A131" s="48"/>
      <c r="B131" s="49" t="str">
        <f>INDEX('Pricing (Drugs) SS'!$B:$B,MATCH(F131,'Pricing (Drugs) SS'!$A:$A,0))</f>
        <v>LIDOCAINE HCI JELLY, USP, 2%, 100mg URO-JET</v>
      </c>
      <c r="C131" s="50" t="str">
        <f>IF(LEFT(F131,6)="Header","",INDEX('Pricing (Drugs) SS'!$E:$E,MATCH(F131,'Pricing (Drugs) SS'!$A:$A,0)))</f>
        <v>20mg/mL</v>
      </c>
      <c r="D131" s="49" t="str">
        <f>IF(LEFT(F131,6)="header","",INDEX('Pricing (Drugs) SS'!$F:$F,MATCH(F131,'Pricing (Drugs) SS'!$A:$A,0)))</f>
        <v>5mL</v>
      </c>
      <c r="E131" s="51" t="str">
        <f>IF(LEFT(F131,6)="Header","",INDEX('Pricing (Drugs) SS'!$D:$D,MATCH(F131,'Pricing (Drugs) SS'!$A:$A,0)))</f>
        <v>76329-3012-5</v>
      </c>
      <c r="F131" s="119">
        <v>1012160</v>
      </c>
      <c r="G131" s="214" t="str">
        <f>IF(LEFT(F131,6)="Header","",INDEX('Tiered Cart Pricing Formulas'!$N:$N,MATCH(F131,'Tiered Cart Pricing Formulas'!$F:$F,0)))</f>
        <v/>
      </c>
      <c r="H131" s="269"/>
      <c r="I131" s="270"/>
      <c r="J131" s="214" t="str">
        <f>IF(M131="header","",INDEX('Tiered Cart Pricing Formulas'!$N:$N,MATCH(F131,'Tiered Cart Pricing Formulas'!$F:$F,0)))</f>
        <v/>
      </c>
      <c r="K131" s="268" t="str">
        <f>IF(LEFT(F131,6)="header","",INDEX('Tiered Cart Pricing Formulas'!$M:$M,MATCH(F131,'Tiered Cart Pricing Formulas'!$F:$F,0)))</f>
        <v/>
      </c>
      <c r="L131" s="268" cm="1">
        <f t="array" aca="1" ref="L131" ca="1">CELL("protect",A131)</f>
        <v>0</v>
      </c>
      <c r="M131" s="268" t="str">
        <f t="shared" si="2"/>
        <v>101216</v>
      </c>
      <c r="N131" s="268" t="str">
        <f t="shared" ca="1" si="3"/>
        <v>Good</v>
      </c>
      <c r="O131" s="268" t="str">
        <f>IF(M131="header","",INDEX('Tiered Cart Pricing Formulas'!$O:$O,MATCH(F131,'Tiered Cart Pricing Formulas'!$F:$F,0)))</f>
        <v/>
      </c>
    </row>
    <row r="132" spans="1:15" ht="15.75" x14ac:dyDescent="0.25">
      <c r="A132" s="48"/>
      <c r="B132" s="49" t="str">
        <f>INDEX('Pricing (Drugs) SS'!$B:$B,MATCH(F132,'Pricing (Drugs) SS'!$A:$A,0))</f>
        <v>LIDOCAINE HCI AND 5% DEXTROSE INJECTION USP 2g (4mg/mL) 500mL BAG</v>
      </c>
      <c r="C132" s="50" t="str">
        <f>IF(LEFT(F132,6)="Header","",INDEX('Pricing (Drugs) SS'!$E:$E,MATCH(F132,'Pricing (Drugs) SS'!$A:$A,0)))</f>
        <v>2g (4mg/mL)</v>
      </c>
      <c r="D132" s="49" t="str">
        <f>IF(LEFT(F132,6)="header","",INDEX('Pricing (Drugs) SS'!$F:$F,MATCH(F132,'Pricing (Drugs) SS'!$A:$A,0)))</f>
        <v>500mL</v>
      </c>
      <c r="E132" s="51" t="str">
        <f>IF(LEFT(F132,6)="Header","",INDEX('Pricing (Drugs) SS'!$D:$D,MATCH(F132,'Pricing (Drugs) SS'!$A:$A,0)))</f>
        <v>0338-0409-03</v>
      </c>
      <c r="F132" s="119">
        <v>1008590</v>
      </c>
      <c r="G132" s="214" t="str">
        <f>IF(LEFT(F132,6)="Header","",INDEX('Tiered Cart Pricing Formulas'!$N:$N,MATCH(F132,'Tiered Cart Pricing Formulas'!$F:$F,0)))</f>
        <v/>
      </c>
      <c r="H132" s="269"/>
      <c r="I132" s="270"/>
      <c r="J132" s="214" t="str">
        <f>IF(M132="header","",INDEX('Tiered Cart Pricing Formulas'!$N:$N,MATCH(F132,'Tiered Cart Pricing Formulas'!$F:$F,0)))</f>
        <v/>
      </c>
      <c r="K132" s="268" t="str">
        <f>IF(LEFT(F132,6)="header","",INDEX('Tiered Cart Pricing Formulas'!$M:$M,MATCH(F132,'Tiered Cart Pricing Formulas'!$F:$F,0)))</f>
        <v/>
      </c>
      <c r="L132" s="268" cm="1">
        <f t="array" aca="1" ref="L132" ca="1">CELL("protect",A132)</f>
        <v>0</v>
      </c>
      <c r="M132" s="268" t="str">
        <f t="shared" si="2"/>
        <v>100859</v>
      </c>
      <c r="N132" s="268" t="str">
        <f t="shared" ca="1" si="3"/>
        <v>Good</v>
      </c>
      <c r="O132" s="268" t="str">
        <f>IF(M132="header","",INDEX('Tiered Cart Pricing Formulas'!$O:$O,MATCH(F132,'Tiered Cart Pricing Formulas'!$F:$F,0)))</f>
        <v/>
      </c>
    </row>
    <row r="133" spans="1:15" ht="15.75" x14ac:dyDescent="0.25">
      <c r="A133" s="118"/>
      <c r="B133" s="49" t="str">
        <f>INDEX('Pricing (Drugs) SS'!$B:$B,MATCH(F133,'Pricing (Drugs) SS'!$A:$A,0))</f>
        <v>MAGNESIUM SULFATE</v>
      </c>
      <c r="C133" s="50" t="str">
        <f>IF(LEFT(F133,6)="Header","",INDEX('Pricing (Drugs) SS'!$E:$E,MATCH(F133,'Pricing (Drugs) SS'!$A:$A,0)))</f>
        <v/>
      </c>
      <c r="D133" s="49" t="str">
        <f>IF(LEFT(F133,6)="header","",INDEX('Pricing (Drugs) SS'!$F:$F,MATCH(F133,'Pricing (Drugs) SS'!$A:$A,0)))</f>
        <v/>
      </c>
      <c r="E133" s="51" t="str">
        <f>IF(LEFT(F133,6)="Header","",INDEX('Pricing (Drugs) SS'!$D:$D,MATCH(F133,'Pricing (Drugs) SS'!$A:$A,0)))</f>
        <v/>
      </c>
      <c r="F133" s="119" t="s">
        <v>1574</v>
      </c>
      <c r="G133" s="214" t="str">
        <f>IF(LEFT(F133,6)="Header","",INDEX('Tiered Cart Pricing Formulas'!$N:$N,MATCH(F133,'Tiered Cart Pricing Formulas'!$F:$F,0)))</f>
        <v/>
      </c>
      <c r="H133" s="51"/>
      <c r="I133" s="272"/>
      <c r="J133" s="214" t="str">
        <f>IF(M133="header","",INDEX('Tiered Cart Pricing Formulas'!$N:$N,MATCH(F133,'Tiered Cart Pricing Formulas'!$F:$F,0)))</f>
        <v/>
      </c>
      <c r="K133" s="268" t="str">
        <f>IF(LEFT(F133,6)="header","",INDEX('Tiered Cart Pricing Formulas'!$M:$M,MATCH(F133,'Tiered Cart Pricing Formulas'!$F:$F,0)))</f>
        <v/>
      </c>
      <c r="L133" s="268" cm="1">
        <f t="array" aca="1" ref="L133" ca="1">CELL("protect",A133)</f>
        <v>1</v>
      </c>
      <c r="M133" s="268" t="str">
        <f t="shared" si="2"/>
        <v>HEADER</v>
      </c>
      <c r="N133" s="268" t="str">
        <f t="shared" ca="1" si="3"/>
        <v>Good</v>
      </c>
      <c r="O133" s="268" t="str">
        <f>IF(M133="header","",INDEX('Tiered Cart Pricing Formulas'!$O:$O,MATCH(F133,'Tiered Cart Pricing Formulas'!$F:$F,0)))</f>
        <v/>
      </c>
    </row>
    <row r="134" spans="1:15" ht="15.75" x14ac:dyDescent="0.25">
      <c r="A134" s="48"/>
      <c r="B134" s="49" t="str">
        <f>INDEX('Pricing (Drugs) SS'!$B:$B,MATCH(F134,'Pricing (Drugs) SS'!$A:$A,0))</f>
        <v>MAGNESIUM SULFATE INJECTION, USP 50% 1gram per 2mL (500mg per mL) 2mL VIAL</v>
      </c>
      <c r="C134" s="50" t="str">
        <f>IF(LEFT(F134,6)="Header","",INDEX('Pricing (Drugs) SS'!$E:$E,MATCH(F134,'Pricing (Drugs) SS'!$A:$A,0)))</f>
        <v>500mg/mL</v>
      </c>
      <c r="D134" s="49" t="str">
        <f>IF(LEFT(F134,6)="header","",INDEX('Pricing (Drugs) SS'!$F:$F,MATCH(F134,'Pricing (Drugs) SS'!$A:$A,0)))</f>
        <v>2mL</v>
      </c>
      <c r="E134" s="51" t="str">
        <f>IF(LEFT(F134,6)="Header","",INDEX('Pricing (Drugs) SS'!$D:$D,MATCH(F134,'Pricing (Drugs) SS'!$A:$A,0)))</f>
        <v>63323-064-03</v>
      </c>
      <c r="F134" s="119">
        <v>1011950</v>
      </c>
      <c r="G134" s="214" t="str">
        <f>IF(LEFT(F134,6)="Header","",INDEX('Tiered Cart Pricing Formulas'!$N:$N,MATCH(F134,'Tiered Cart Pricing Formulas'!$F:$F,0)))</f>
        <v/>
      </c>
      <c r="H134" s="269"/>
      <c r="I134" s="270"/>
      <c r="J134" s="214" t="str">
        <f>IF(M134="header","",INDEX('Tiered Cart Pricing Formulas'!$N:$N,MATCH(F134,'Tiered Cart Pricing Formulas'!$F:$F,0)))</f>
        <v/>
      </c>
      <c r="K134" s="268" t="str">
        <f>IF(LEFT(F134,6)="header","",INDEX('Tiered Cart Pricing Formulas'!$M:$M,MATCH(F134,'Tiered Cart Pricing Formulas'!$F:$F,0)))</f>
        <v/>
      </c>
      <c r="L134" s="268" cm="1">
        <f t="array" aca="1" ref="L134" ca="1">CELL("protect",A134)</f>
        <v>0</v>
      </c>
      <c r="M134" s="268" t="str">
        <f t="shared" si="2"/>
        <v>101195</v>
      </c>
      <c r="N134" s="268" t="str">
        <f t="shared" ca="1" si="3"/>
        <v>Good</v>
      </c>
      <c r="O134" s="268" t="str">
        <f>IF(M134="header","",INDEX('Tiered Cart Pricing Formulas'!$O:$O,MATCH(F134,'Tiered Cart Pricing Formulas'!$F:$F,0)))</f>
        <v/>
      </c>
    </row>
    <row r="135" spans="1:15" ht="15.75" x14ac:dyDescent="0.25">
      <c r="A135" s="48"/>
      <c r="B135" s="49" t="str">
        <f>INDEX('Pricing (Drugs) SS'!$B:$B,MATCH(F135,'Pricing (Drugs) SS'!$A:$A,0))</f>
        <v>MAGNESIUM SULFATE INJECTION, USP 50% 5 grams per 10mL (500 mg per mL) 10mL VIAL</v>
      </c>
      <c r="C135" s="50" t="str">
        <f>IF(LEFT(F135,6)="Header","",INDEX('Pricing (Drugs) SS'!$E:$E,MATCH(F135,'Pricing (Drugs) SS'!$A:$A,0)))</f>
        <v>500 mg per mL</v>
      </c>
      <c r="D135" s="49" t="str">
        <f>IF(LEFT(F135,6)="header","",INDEX('Pricing (Drugs) SS'!$F:$F,MATCH(F135,'Pricing (Drugs) SS'!$A:$A,0)))</f>
        <v>10mL</v>
      </c>
      <c r="E135" s="51" t="str">
        <f>IF(LEFT(F135,6)="Header","",INDEX('Pricing (Drugs) SS'!$D:$D,MATCH(F135,'Pricing (Drugs) SS'!$A:$A,0)))</f>
        <v>63323-064-11</v>
      </c>
      <c r="F135" s="119">
        <v>1012710</v>
      </c>
      <c r="G135" s="214" t="str">
        <f>IF(LEFT(F135,6)="Header","",INDEX('Tiered Cart Pricing Formulas'!$N:$N,MATCH(F135,'Tiered Cart Pricing Formulas'!$F:$F,0)))</f>
        <v/>
      </c>
      <c r="H135" s="269"/>
      <c r="I135" s="270"/>
      <c r="J135" s="214" t="str">
        <f>IF(M135="header","",INDEX('Tiered Cart Pricing Formulas'!$N:$N,MATCH(F135,'Tiered Cart Pricing Formulas'!$F:$F,0)))</f>
        <v/>
      </c>
      <c r="K135" s="268" t="str">
        <f>IF(LEFT(F135,6)="header","",INDEX('Tiered Cart Pricing Formulas'!$M:$M,MATCH(F135,'Tiered Cart Pricing Formulas'!$F:$F,0)))</f>
        <v/>
      </c>
      <c r="L135" s="268" cm="1">
        <f t="array" aca="1" ref="L135" ca="1">CELL("protect",A135)</f>
        <v>0</v>
      </c>
      <c r="M135" s="268" t="str">
        <f t="shared" si="2"/>
        <v>101271</v>
      </c>
      <c r="N135" s="268" t="str">
        <f t="shared" ca="1" si="3"/>
        <v>Good</v>
      </c>
      <c r="O135" s="268" t="str">
        <f>IF(M135="header","",INDEX('Tiered Cart Pricing Formulas'!$O:$O,MATCH(F135,'Tiered Cart Pricing Formulas'!$F:$F,0)))</f>
        <v/>
      </c>
    </row>
    <row r="136" spans="1:15" ht="15.75" x14ac:dyDescent="0.25">
      <c r="A136" s="48"/>
      <c r="B136" s="49" t="str">
        <f>INDEX('Pricing (Drugs) SS'!$B:$B,MATCH(F136,'Pricing (Drugs) SS'!$A:$A,0))</f>
        <v>MAGNESIUM SULFATE IN WATER FOR INJECTION (0.325 mEq Mg"/mL) 40mg/mL 2g TOTAL 50mL BAG</v>
      </c>
      <c r="C136" s="50" t="str">
        <f>IF(LEFT(F136,6)="Header","",INDEX('Pricing (Drugs) SS'!$E:$E,MATCH(F136,'Pricing (Drugs) SS'!$A:$A,0)))</f>
        <v>40mg/mL</v>
      </c>
      <c r="D136" s="49" t="str">
        <f>IF(LEFT(F136,6)="header","",INDEX('Pricing (Drugs) SS'!$F:$F,MATCH(F136,'Pricing (Drugs) SS'!$A:$A,0)))</f>
        <v>50mL</v>
      </c>
      <c r="E136" s="51" t="str">
        <f>IF(LEFT(F136,6)="Header","",INDEX('Pricing (Drugs) SS'!$D:$D,MATCH(F136,'Pricing (Drugs) SS'!$A:$A,0)))</f>
        <v>0409-6729-24</v>
      </c>
      <c r="F136" s="119">
        <v>1010230</v>
      </c>
      <c r="G136" s="214" t="str">
        <f>IF(LEFT(F136,6)="Header","",INDEX('Tiered Cart Pricing Formulas'!$N:$N,MATCH(F136,'Tiered Cart Pricing Formulas'!$F:$F,0)))</f>
        <v/>
      </c>
      <c r="H136" s="269"/>
      <c r="I136" s="270"/>
      <c r="J136" s="214" t="str">
        <f>IF(M136="header","",INDEX('Tiered Cart Pricing Formulas'!$N:$N,MATCH(F136,'Tiered Cart Pricing Formulas'!$F:$F,0)))</f>
        <v/>
      </c>
      <c r="K136" s="268" t="str">
        <f>IF(LEFT(F136,6)="header","",INDEX('Tiered Cart Pricing Formulas'!$M:$M,MATCH(F136,'Tiered Cart Pricing Formulas'!$F:$F,0)))</f>
        <v/>
      </c>
      <c r="L136" s="268" cm="1">
        <f t="array" aca="1" ref="L136" ca="1">CELL("protect",A136)</f>
        <v>0</v>
      </c>
      <c r="M136" s="268" t="str">
        <f t="shared" si="2"/>
        <v>101023</v>
      </c>
      <c r="N136" s="268" t="str">
        <f t="shared" ca="1" si="3"/>
        <v>Good</v>
      </c>
      <c r="O136" s="268" t="str">
        <f>IF(M136="header","",INDEX('Tiered Cart Pricing Formulas'!$O:$O,MATCH(F136,'Tiered Cart Pricing Formulas'!$F:$F,0)))</f>
        <v/>
      </c>
    </row>
    <row r="137" spans="1:15" ht="15.75" x14ac:dyDescent="0.25">
      <c r="A137" s="48"/>
      <c r="B137" s="49" t="str">
        <f>INDEX('Pricing (Drugs) SS'!$B:$B,MATCH(F137,'Pricing (Drugs) SS'!$A:$A,0))</f>
        <v>50% MAGNESIUM SULFATE INJECTION, USP 5grams/10mL ANSYR SYR</v>
      </c>
      <c r="C137" s="50" t="str">
        <f>IF(LEFT(F137,6)="Header","",INDEX('Pricing (Drugs) SS'!$E:$E,MATCH(F137,'Pricing (Drugs) SS'!$A:$A,0)))</f>
        <v>5grams/10mL</v>
      </c>
      <c r="D137" s="49" t="str">
        <f>IF(LEFT(F137,6)="header","",INDEX('Pricing (Drugs) SS'!$F:$F,MATCH(F137,'Pricing (Drugs) SS'!$A:$A,0)))</f>
        <v>10mL</v>
      </c>
      <c r="E137" s="51" t="str">
        <f>IF(LEFT(F137,6)="Header","",INDEX('Pricing (Drugs) SS'!$D:$D,MATCH(F137,'Pricing (Drugs) SS'!$A:$A,0)))</f>
        <v>0409-1754-10</v>
      </c>
      <c r="F137" s="119">
        <v>1000390</v>
      </c>
      <c r="G137" s="214" t="str">
        <f>IF(LEFT(F137,6)="Header","",INDEX('Tiered Cart Pricing Formulas'!$N:$N,MATCH(F137,'Tiered Cart Pricing Formulas'!$F:$F,0)))</f>
        <v/>
      </c>
      <c r="H137" s="269"/>
      <c r="I137" s="270"/>
      <c r="J137" s="214" t="str">
        <f>IF(M137="header","",INDEX('Tiered Cart Pricing Formulas'!$N:$N,MATCH(F137,'Tiered Cart Pricing Formulas'!$F:$F,0)))</f>
        <v/>
      </c>
      <c r="K137" s="268" t="str">
        <f>IF(LEFT(F137,6)="header","",INDEX('Tiered Cart Pricing Formulas'!$M:$M,MATCH(F137,'Tiered Cart Pricing Formulas'!$F:$F,0)))</f>
        <v/>
      </c>
      <c r="L137" s="268" cm="1">
        <f t="array" aca="1" ref="L137" ca="1">CELL("protect",A137)</f>
        <v>0</v>
      </c>
      <c r="M137" s="268" t="str">
        <f t="shared" si="2"/>
        <v>100039</v>
      </c>
      <c r="N137" s="268" t="str">
        <f t="shared" ca="1" si="3"/>
        <v>Good</v>
      </c>
      <c r="O137" s="268" t="str">
        <f>IF(M137="header","",INDEX('Tiered Cart Pricing Formulas'!$O:$O,MATCH(F137,'Tiered Cart Pricing Formulas'!$F:$F,0)))</f>
        <v/>
      </c>
    </row>
    <row r="138" spans="1:15" ht="15.75" x14ac:dyDescent="0.25">
      <c r="A138" s="118"/>
      <c r="B138" s="49" t="str">
        <f>INDEX('Pricing (Drugs) SS'!$B:$B,MATCH(F138,'Pricing (Drugs) SS'!$A:$A,0))</f>
        <v>MANNITOL</v>
      </c>
      <c r="C138" s="50" t="str">
        <f>IF(LEFT(F138,6)="Header","",INDEX('Pricing (Drugs) SS'!$E:$E,MATCH(F138,'Pricing (Drugs) SS'!$A:$A,0)))</f>
        <v/>
      </c>
      <c r="D138" s="49" t="str">
        <f>IF(LEFT(F138,6)="header","",INDEX('Pricing (Drugs) SS'!$F:$F,MATCH(F138,'Pricing (Drugs) SS'!$A:$A,0)))</f>
        <v/>
      </c>
      <c r="E138" s="51" t="str">
        <f>IF(LEFT(F138,6)="Header","",INDEX('Pricing (Drugs) SS'!$D:$D,MATCH(F138,'Pricing (Drugs) SS'!$A:$A,0)))</f>
        <v/>
      </c>
      <c r="F138" s="119" t="s">
        <v>1575</v>
      </c>
      <c r="G138" s="214" t="str">
        <f>IF(LEFT(F138,6)="Header","",INDEX('Tiered Cart Pricing Formulas'!$N:$N,MATCH(F138,'Tiered Cart Pricing Formulas'!$F:$F,0)))</f>
        <v/>
      </c>
      <c r="H138" s="51"/>
      <c r="I138" s="272"/>
      <c r="J138" s="214" t="str">
        <f>IF(M138="header","",INDEX('Tiered Cart Pricing Formulas'!$N:$N,MATCH(F138,'Tiered Cart Pricing Formulas'!$F:$F,0)))</f>
        <v/>
      </c>
      <c r="K138" s="268" t="str">
        <f>IF(LEFT(F138,6)="header","",INDEX('Tiered Cart Pricing Formulas'!$M:$M,MATCH(F138,'Tiered Cart Pricing Formulas'!$F:$F,0)))</f>
        <v/>
      </c>
      <c r="L138" s="268" cm="1">
        <f t="array" aca="1" ref="L138" ca="1">CELL("protect",A138)</f>
        <v>1</v>
      </c>
      <c r="M138" s="268" t="str">
        <f t="shared" si="2"/>
        <v>HEADER</v>
      </c>
      <c r="N138" s="268" t="str">
        <f t="shared" ca="1" si="3"/>
        <v>Good</v>
      </c>
      <c r="O138" s="268" t="str">
        <f>IF(M138="header","",INDEX('Tiered Cart Pricing Formulas'!$O:$O,MATCH(F138,'Tiered Cart Pricing Formulas'!$F:$F,0)))</f>
        <v/>
      </c>
    </row>
    <row r="139" spans="1:15" ht="15.75" x14ac:dyDescent="0.25">
      <c r="A139" s="48"/>
      <c r="B139" s="49" t="str">
        <f>INDEX('Pricing (Drugs) SS'!$B:$B,MATCH(F139,'Pricing (Drugs) SS'!$A:$A,0))</f>
        <v>25% MANNITOL INJECTION, USP 12.5g/50mL (250mg/mL) 50mL VIAL</v>
      </c>
      <c r="C139" s="50" t="str">
        <f>IF(LEFT(F139,6)="Header","",INDEX('Pricing (Drugs) SS'!$E:$E,MATCH(F139,'Pricing (Drugs) SS'!$A:$A,0)))</f>
        <v>250mg/mL</v>
      </c>
      <c r="D139" s="49" t="str">
        <f>IF(LEFT(F139,6)="header","",INDEX('Pricing (Drugs) SS'!$F:$F,MATCH(F139,'Pricing (Drugs) SS'!$A:$A,0)))</f>
        <v>50mL</v>
      </c>
      <c r="E139" s="51" t="str">
        <f>IF(LEFT(F139,6)="Header","",INDEX('Pricing (Drugs) SS'!$D:$D,MATCH(F139,'Pricing (Drugs) SS'!$A:$A,0)))</f>
        <v>0409-4031-01</v>
      </c>
      <c r="F139" s="119">
        <v>1012880</v>
      </c>
      <c r="G139" s="214" t="str">
        <f>IF(LEFT(F139,6)="Header","",INDEX('Tiered Cart Pricing Formulas'!$N:$N,MATCH(F139,'Tiered Cart Pricing Formulas'!$F:$F,0)))</f>
        <v/>
      </c>
      <c r="H139" s="269"/>
      <c r="I139" s="270"/>
      <c r="J139" s="214" t="str">
        <f>IF(M139="header","",INDEX('Tiered Cart Pricing Formulas'!$N:$N,MATCH(F139,'Tiered Cart Pricing Formulas'!$F:$F,0)))</f>
        <v/>
      </c>
      <c r="K139" s="268" t="str">
        <f>IF(LEFT(F139,6)="header","",INDEX('Tiered Cart Pricing Formulas'!$M:$M,MATCH(F139,'Tiered Cart Pricing Formulas'!$F:$F,0)))</f>
        <v/>
      </c>
      <c r="L139" s="268" cm="1">
        <f t="array" aca="1" ref="L139" ca="1">CELL("protect",A139)</f>
        <v>0</v>
      </c>
      <c r="M139" s="268" t="str">
        <f t="shared" si="2"/>
        <v>101288</v>
      </c>
      <c r="N139" s="268" t="str">
        <f t="shared" ca="1" si="3"/>
        <v>Good</v>
      </c>
      <c r="O139" s="268" t="str">
        <f>IF(M139="header","",INDEX('Tiered Cart Pricing Formulas'!$O:$O,MATCH(F139,'Tiered Cart Pricing Formulas'!$F:$F,0)))</f>
        <v/>
      </c>
    </row>
    <row r="140" spans="1:15" ht="15.75" x14ac:dyDescent="0.25">
      <c r="A140" s="118"/>
      <c r="B140" s="49" t="str">
        <f>INDEX('Pricing (Drugs) SS'!$B:$B,MATCH(F140,'Pricing (Drugs) SS'!$A:$A,0))</f>
        <v>METHYLPREDNISOLONE/ SOLU-MEDROL</v>
      </c>
      <c r="C140" s="50" t="str">
        <f>IF(LEFT(F140,6)="Header","",INDEX('Pricing (Drugs) SS'!$E:$E,MATCH(F140,'Pricing (Drugs) SS'!$A:$A,0)))</f>
        <v/>
      </c>
      <c r="D140" s="49" t="str">
        <f>IF(LEFT(F140,6)="header","",INDEX('Pricing (Drugs) SS'!$F:$F,MATCH(F140,'Pricing (Drugs) SS'!$A:$A,0)))</f>
        <v/>
      </c>
      <c r="E140" s="51" t="str">
        <f>IF(LEFT(F140,6)="Header","",INDEX('Pricing (Drugs) SS'!$D:$D,MATCH(F140,'Pricing (Drugs) SS'!$A:$A,0)))</f>
        <v/>
      </c>
      <c r="F140" s="119" t="s">
        <v>1576</v>
      </c>
      <c r="G140" s="214" t="str">
        <f>IF(LEFT(F140,6)="Header","",INDEX('Tiered Cart Pricing Formulas'!$N:$N,MATCH(F140,'Tiered Cart Pricing Formulas'!$F:$F,0)))</f>
        <v/>
      </c>
      <c r="H140" s="51"/>
      <c r="I140" s="272"/>
      <c r="J140" s="214" t="str">
        <f>IF(M140="header","",INDEX('Tiered Cart Pricing Formulas'!$N:$N,MATCH(F140,'Tiered Cart Pricing Formulas'!$F:$F,0)))</f>
        <v/>
      </c>
      <c r="K140" s="268" t="str">
        <f>IF(LEFT(F140,6)="header","",INDEX('Tiered Cart Pricing Formulas'!$M:$M,MATCH(F140,'Tiered Cart Pricing Formulas'!$F:$F,0)))</f>
        <v/>
      </c>
      <c r="L140" s="268" cm="1">
        <f t="array" aca="1" ref="L140" ca="1">CELL("protect",A140)</f>
        <v>1</v>
      </c>
      <c r="M140" s="268" t="str">
        <f t="shared" ref="M140:M203" si="4">LEFT(F140,6)</f>
        <v>HEADER</v>
      </c>
      <c r="N140" s="268" t="str">
        <f t="shared" ca="1" si="3"/>
        <v>Good</v>
      </c>
      <c r="O140" s="268" t="str">
        <f>IF(M140="header","",INDEX('Tiered Cart Pricing Formulas'!$O:$O,MATCH(F140,'Tiered Cart Pricing Formulas'!$F:$F,0)))</f>
        <v/>
      </c>
    </row>
    <row r="141" spans="1:15" ht="15.75" x14ac:dyDescent="0.25">
      <c r="A141" s="48"/>
      <c r="B141" s="49" t="str">
        <f>INDEX('Pricing (Drugs) SS'!$B:$B,MATCH(F141,'Pricing (Drugs) SS'!$A:$A,0))</f>
        <v>SOLU-MEDROL® 40MG PER VIAL 1mL ACT-O-VIAL®</v>
      </c>
      <c r="C141" s="50" t="str">
        <f>IF(LEFT(F141,6)="Header","",INDEX('Pricing (Drugs) SS'!$E:$E,MATCH(F141,'Pricing (Drugs) SS'!$A:$A,0)))</f>
        <v>40mg</v>
      </c>
      <c r="D141" s="49" t="str">
        <f>IF(LEFT(F141,6)="header","",INDEX('Pricing (Drugs) SS'!$F:$F,MATCH(F141,'Pricing (Drugs) SS'!$A:$A,0)))</f>
        <v>1mL</v>
      </c>
      <c r="E141" s="51" t="str">
        <f>IF(LEFT(F141,6)="Header","",INDEX('Pricing (Drugs) SS'!$D:$D,MATCH(F141,'Pricing (Drugs) SS'!$A:$A,0)))</f>
        <v>0009-0039-28</v>
      </c>
      <c r="F141" s="119">
        <v>1000670</v>
      </c>
      <c r="G141" s="214" t="str">
        <f>IF(LEFT(F141,6)="Header","",INDEX('Tiered Cart Pricing Formulas'!$N:$N,MATCH(F141,'Tiered Cart Pricing Formulas'!$F:$F,0)))</f>
        <v/>
      </c>
      <c r="H141" s="269"/>
      <c r="I141" s="270"/>
      <c r="J141" s="214" t="str">
        <f>IF(M141="header","",INDEX('Tiered Cart Pricing Formulas'!$N:$N,MATCH(F141,'Tiered Cart Pricing Formulas'!$F:$F,0)))</f>
        <v/>
      </c>
      <c r="K141" s="268" t="str">
        <f>IF(LEFT(F141,6)="header","",INDEX('Tiered Cart Pricing Formulas'!$M:$M,MATCH(F141,'Tiered Cart Pricing Formulas'!$F:$F,0)))</f>
        <v/>
      </c>
      <c r="L141" s="268" cm="1">
        <f t="array" aca="1" ref="L141" ca="1">CELL("protect",A141)</f>
        <v>0</v>
      </c>
      <c r="M141" s="268" t="str">
        <f t="shared" si="4"/>
        <v>100067</v>
      </c>
      <c r="N141" s="268" t="str">
        <f t="shared" ref="N141:N204" ca="1" si="5">IF(AND(L141=1,M141="header"),"Good",IF(AND(M141&lt;&gt;"Header",L141=0),"Good","Bad"))</f>
        <v>Good</v>
      </c>
      <c r="O141" s="268" t="str">
        <f>IF(M141="header","",INDEX('Tiered Cart Pricing Formulas'!$O:$O,MATCH(F141,'Tiered Cart Pricing Formulas'!$F:$F,0)))</f>
        <v/>
      </c>
    </row>
    <row r="142" spans="1:15" ht="15.75" x14ac:dyDescent="0.25">
      <c r="A142" s="48"/>
      <c r="B142" s="49" t="str">
        <f>INDEX('Pricing (Drugs) SS'!$B:$B,MATCH(F142,'Pricing (Drugs) SS'!$A:$A,0))</f>
        <v>SOLU-MEDROL® 125MG PER VIAL 2mL ACT-O-VIAL®</v>
      </c>
      <c r="C142" s="50" t="str">
        <f>IF(LEFT(F142,6)="Header","",INDEX('Pricing (Drugs) SS'!$E:$E,MATCH(F142,'Pricing (Drugs) SS'!$A:$A,0)))</f>
        <v>125mg</v>
      </c>
      <c r="D142" s="49" t="str">
        <f>IF(LEFT(F142,6)="header","",INDEX('Pricing (Drugs) SS'!$F:$F,MATCH(F142,'Pricing (Drugs) SS'!$A:$A,0)))</f>
        <v>2mL</v>
      </c>
      <c r="E142" s="51" t="str">
        <f>IF(LEFT(F142,6)="Header","",INDEX('Pricing (Drugs) SS'!$D:$D,MATCH(F142,'Pricing (Drugs) SS'!$A:$A,0)))</f>
        <v>0009-0047-22</v>
      </c>
      <c r="F142" s="119">
        <v>1000660</v>
      </c>
      <c r="G142" s="214" t="str">
        <f>IF(LEFT(F142,6)="Header","",INDEX('Tiered Cart Pricing Formulas'!$N:$N,MATCH(F142,'Tiered Cart Pricing Formulas'!$F:$F,0)))</f>
        <v/>
      </c>
      <c r="H142" s="269"/>
      <c r="I142" s="270"/>
      <c r="J142" s="214" t="str">
        <f>IF(M142="header","",INDEX('Tiered Cart Pricing Formulas'!$N:$N,MATCH(F142,'Tiered Cart Pricing Formulas'!$F:$F,0)))</f>
        <v/>
      </c>
      <c r="K142" s="268" t="str">
        <f>IF(LEFT(F142,6)="header","",INDEX('Tiered Cart Pricing Formulas'!$M:$M,MATCH(F142,'Tiered Cart Pricing Formulas'!$F:$F,0)))</f>
        <v/>
      </c>
      <c r="L142" s="268" cm="1">
        <f t="array" aca="1" ref="L142" ca="1">CELL("protect",A142)</f>
        <v>0</v>
      </c>
      <c r="M142" s="268" t="str">
        <f t="shared" si="4"/>
        <v>100066</v>
      </c>
      <c r="N142" s="268" t="str">
        <f t="shared" ca="1" si="5"/>
        <v>Good</v>
      </c>
      <c r="O142" s="268" t="str">
        <f>IF(M142="header","",INDEX('Tiered Cart Pricing Formulas'!$O:$O,MATCH(F142,'Tiered Cart Pricing Formulas'!$F:$F,0)))</f>
        <v/>
      </c>
    </row>
    <row r="143" spans="1:15" ht="15.75" x14ac:dyDescent="0.25">
      <c r="A143" s="118"/>
      <c r="B143" s="49" t="str">
        <f>INDEX('Pricing (Drugs) SS'!$B:$B,MATCH(F143,'Pricing (Drugs) SS'!$A:$A,0))</f>
        <v>METOCLOPRAMIDE</v>
      </c>
      <c r="C143" s="50" t="str">
        <f>IF(LEFT(F143,6)="Header","",INDEX('Pricing (Drugs) SS'!$E:$E,MATCH(F143,'Pricing (Drugs) SS'!$A:$A,0)))</f>
        <v/>
      </c>
      <c r="D143" s="49" t="str">
        <f>IF(LEFT(F143,6)="header","",INDEX('Pricing (Drugs) SS'!$F:$F,MATCH(F143,'Pricing (Drugs) SS'!$A:$A,0)))</f>
        <v/>
      </c>
      <c r="E143" s="51" t="str">
        <f>IF(LEFT(F143,6)="Header","",INDEX('Pricing (Drugs) SS'!$D:$D,MATCH(F143,'Pricing (Drugs) SS'!$A:$A,0)))</f>
        <v/>
      </c>
      <c r="F143" s="119" t="s">
        <v>1577</v>
      </c>
      <c r="G143" s="214" t="str">
        <f>IF(LEFT(F143,6)="Header","",INDEX('Tiered Cart Pricing Formulas'!$N:$N,MATCH(F143,'Tiered Cart Pricing Formulas'!$F:$F,0)))</f>
        <v/>
      </c>
      <c r="H143" s="51"/>
      <c r="I143" s="272"/>
      <c r="J143" s="214" t="str">
        <f>IF(M143="header","",INDEX('Tiered Cart Pricing Formulas'!$N:$N,MATCH(F143,'Tiered Cart Pricing Formulas'!$F:$F,0)))</f>
        <v/>
      </c>
      <c r="K143" s="268" t="str">
        <f>IF(LEFT(F143,6)="header","",INDEX('Tiered Cart Pricing Formulas'!$M:$M,MATCH(F143,'Tiered Cart Pricing Formulas'!$F:$F,0)))</f>
        <v/>
      </c>
      <c r="L143" s="268" cm="1">
        <f t="array" aca="1" ref="L143" ca="1">CELL("protect",A143)</f>
        <v>1</v>
      </c>
      <c r="M143" s="268" t="str">
        <f t="shared" si="4"/>
        <v>HEADER</v>
      </c>
      <c r="N143" s="268" t="str">
        <f t="shared" ca="1" si="5"/>
        <v>Good</v>
      </c>
      <c r="O143" s="268" t="str">
        <f>IF(M143="header","",INDEX('Tiered Cart Pricing Formulas'!$O:$O,MATCH(F143,'Tiered Cart Pricing Formulas'!$F:$F,0)))</f>
        <v/>
      </c>
    </row>
    <row r="144" spans="1:15" ht="15.75" x14ac:dyDescent="0.25">
      <c r="A144" s="48"/>
      <c r="B144" s="49" t="str">
        <f>INDEX('Pricing (Drugs) SS'!$B:$B,MATCH(F144,'Pricing (Drugs) SS'!$A:$A,0))</f>
        <v>METOCLOPRAMIDE INJECTION, USP 10mg/2mL (5mg/mL) 2mL VIAL</v>
      </c>
      <c r="C144" s="50" t="str">
        <f>IF(LEFT(F144,6)="Header","",INDEX('Pricing (Drugs) SS'!$E:$E,MATCH(F144,'Pricing (Drugs) SS'!$A:$A,0)))</f>
        <v>5mg/mL</v>
      </c>
      <c r="D144" s="49" t="str">
        <f>IF(LEFT(F144,6)="header","",INDEX('Pricing (Drugs) SS'!$F:$F,MATCH(F144,'Pricing (Drugs) SS'!$A:$A,0)))</f>
        <v>2mL</v>
      </c>
      <c r="E144" s="51" t="str">
        <f>IF(LEFT(F144,6)="Header","",INDEX('Pricing (Drugs) SS'!$D:$D,MATCH(F144,'Pricing (Drugs) SS'!$A:$A,0)))</f>
        <v>0409-3414-11</v>
      </c>
      <c r="F144" s="119">
        <v>1024070</v>
      </c>
      <c r="G144" s="214" t="str">
        <f>IF(LEFT(F144,6)="Header","",INDEX('Tiered Cart Pricing Formulas'!$N:$N,MATCH(F144,'Tiered Cart Pricing Formulas'!$F:$F,0)))</f>
        <v/>
      </c>
      <c r="H144" s="269"/>
      <c r="I144" s="270"/>
      <c r="J144" s="214" t="str">
        <f>IF(M144="header","",INDEX('Tiered Cart Pricing Formulas'!$N:$N,MATCH(F144,'Tiered Cart Pricing Formulas'!$F:$F,0)))</f>
        <v/>
      </c>
      <c r="K144" s="268" t="str">
        <f>IF(LEFT(F144,6)="header","",INDEX('Tiered Cart Pricing Formulas'!$M:$M,MATCH(F144,'Tiered Cart Pricing Formulas'!$F:$F,0)))</f>
        <v/>
      </c>
      <c r="L144" s="268" cm="1">
        <f t="array" aca="1" ref="L144" ca="1">CELL("protect",A144)</f>
        <v>0</v>
      </c>
      <c r="M144" s="268" t="str">
        <f t="shared" si="4"/>
        <v>102407</v>
      </c>
      <c r="N144" s="268" t="str">
        <f t="shared" ca="1" si="5"/>
        <v>Good</v>
      </c>
      <c r="O144" s="268" t="str">
        <f>IF(M144="header","",INDEX('Tiered Cart Pricing Formulas'!$O:$O,MATCH(F144,'Tiered Cart Pricing Formulas'!$F:$F,0)))</f>
        <v/>
      </c>
    </row>
    <row r="145" spans="1:15" ht="15.75" x14ac:dyDescent="0.25">
      <c r="A145" s="118"/>
      <c r="B145" s="49" t="str">
        <f>INDEX('Pricing (Drugs) SS'!$B:$B,MATCH(F145,'Pricing (Drugs) SS'!$A:$A,0))</f>
        <v>NALBUPHINE/NUBAIN</v>
      </c>
      <c r="C145" s="50" t="str">
        <f>IF(LEFT(F145,6)="Header","",INDEX('Pricing (Drugs) SS'!$E:$E,MATCH(F145,'Pricing (Drugs) SS'!$A:$A,0)))</f>
        <v/>
      </c>
      <c r="D145" s="49" t="str">
        <f>IF(LEFT(F145,6)="header","",INDEX('Pricing (Drugs) SS'!$F:$F,MATCH(F145,'Pricing (Drugs) SS'!$A:$A,0)))</f>
        <v/>
      </c>
      <c r="E145" s="51" t="str">
        <f>IF(LEFT(F145,6)="Header","",INDEX('Pricing (Drugs) SS'!$D:$D,MATCH(F145,'Pricing (Drugs) SS'!$A:$A,0)))</f>
        <v/>
      </c>
      <c r="F145" s="119" t="s">
        <v>1578</v>
      </c>
      <c r="G145" s="214" t="str">
        <f>IF(LEFT(F145,6)="Header","",INDEX('Tiered Cart Pricing Formulas'!$N:$N,MATCH(F145,'Tiered Cart Pricing Formulas'!$F:$F,0)))</f>
        <v/>
      </c>
      <c r="H145" s="51"/>
      <c r="I145" s="272"/>
      <c r="J145" s="214" t="str">
        <f>IF(M145="header","",INDEX('Tiered Cart Pricing Formulas'!$N:$N,MATCH(F145,'Tiered Cart Pricing Formulas'!$F:$F,0)))</f>
        <v/>
      </c>
      <c r="K145" s="268" t="str">
        <f>IF(LEFT(F145,6)="header","",INDEX('Tiered Cart Pricing Formulas'!$M:$M,MATCH(F145,'Tiered Cart Pricing Formulas'!$F:$F,0)))</f>
        <v/>
      </c>
      <c r="L145" s="268" cm="1">
        <f t="array" aca="1" ref="L145" ca="1">CELL("protect",A145)</f>
        <v>1</v>
      </c>
      <c r="M145" s="268" t="str">
        <f t="shared" si="4"/>
        <v>HEADER</v>
      </c>
      <c r="N145" s="268" t="str">
        <f t="shared" ca="1" si="5"/>
        <v>Good</v>
      </c>
      <c r="O145" s="268" t="str">
        <f>IF(M145="header","",INDEX('Tiered Cart Pricing Formulas'!$O:$O,MATCH(F145,'Tiered Cart Pricing Formulas'!$F:$F,0)))</f>
        <v/>
      </c>
    </row>
    <row r="146" spans="1:15" ht="15.75" x14ac:dyDescent="0.25">
      <c r="A146" s="48"/>
      <c r="B146" s="49" t="str">
        <f>INDEX('Pricing (Drugs) SS'!$B:$B,MATCH(F146,'Pricing (Drugs) SS'!$A:$A,0))</f>
        <v>NALBUPHINE HCI INJ. 10mg/mL 10mL VIAL</v>
      </c>
      <c r="C146" s="50" t="str">
        <f>IF(LEFT(F146,6)="Header","",INDEX('Pricing (Drugs) SS'!$E:$E,MATCH(F146,'Pricing (Drugs) SS'!$A:$A,0)))</f>
        <v>10mg/mL</v>
      </c>
      <c r="D146" s="49" t="str">
        <f>IF(LEFT(F146,6)="header","",INDEX('Pricing (Drugs) SS'!$F:$F,MATCH(F146,'Pricing (Drugs) SS'!$A:$A,0)))</f>
        <v>10mL</v>
      </c>
      <c r="E146" s="51" t="str">
        <f>IF(LEFT(F146,6)="Header","",INDEX('Pricing (Drugs) SS'!$D:$D,MATCH(F146,'Pricing (Drugs) SS'!$A:$A,0)))</f>
        <v>0409-1464-01</v>
      </c>
      <c r="F146" s="119">
        <v>1011850</v>
      </c>
      <c r="G146" s="214" t="str">
        <f>IF(LEFT(F146,6)="Header","",INDEX('Tiered Cart Pricing Formulas'!$N:$N,MATCH(F146,'Tiered Cart Pricing Formulas'!$F:$F,0)))</f>
        <v/>
      </c>
      <c r="H146" s="269"/>
      <c r="I146" s="270"/>
      <c r="J146" s="214" t="str">
        <f>IF(M146="header","",INDEX('Tiered Cart Pricing Formulas'!$N:$N,MATCH(F146,'Tiered Cart Pricing Formulas'!$F:$F,0)))</f>
        <v/>
      </c>
      <c r="K146" s="268" t="str">
        <f>IF(LEFT(F146,6)="header","",INDEX('Tiered Cart Pricing Formulas'!$M:$M,MATCH(F146,'Tiered Cart Pricing Formulas'!$F:$F,0)))</f>
        <v/>
      </c>
      <c r="L146" s="268" cm="1">
        <f t="array" aca="1" ref="L146" ca="1">CELL("protect",A146)</f>
        <v>0</v>
      </c>
      <c r="M146" s="268" t="str">
        <f t="shared" si="4"/>
        <v>101185</v>
      </c>
      <c r="N146" s="268" t="str">
        <f t="shared" ca="1" si="5"/>
        <v>Good</v>
      </c>
      <c r="O146" s="268" t="str">
        <f>IF(M146="header","",INDEX('Tiered Cart Pricing Formulas'!$O:$O,MATCH(F146,'Tiered Cart Pricing Formulas'!$F:$F,0)))</f>
        <v/>
      </c>
    </row>
    <row r="147" spans="1:15" ht="15.75" x14ac:dyDescent="0.25">
      <c r="A147" s="118"/>
      <c r="B147" s="49" t="str">
        <f>INDEX('Pricing (Drugs) SS'!$B:$B,MATCH(F147,'Pricing (Drugs) SS'!$A:$A,0))</f>
        <v>NALOXONE</v>
      </c>
      <c r="C147" s="50" t="str">
        <f>IF(LEFT(F147,6)="Header","",INDEX('Pricing (Drugs) SS'!$E:$E,MATCH(F147,'Pricing (Drugs) SS'!$A:$A,0)))</f>
        <v/>
      </c>
      <c r="D147" s="49" t="str">
        <f>IF(LEFT(F147,6)="header","",INDEX('Pricing (Drugs) SS'!$F:$F,MATCH(F147,'Pricing (Drugs) SS'!$A:$A,0)))</f>
        <v/>
      </c>
      <c r="E147" s="51" t="str">
        <f>IF(LEFT(F147,6)="Header","",INDEX('Pricing (Drugs) SS'!$D:$D,MATCH(F147,'Pricing (Drugs) SS'!$A:$A,0)))</f>
        <v/>
      </c>
      <c r="F147" s="119" t="s">
        <v>1579</v>
      </c>
      <c r="G147" s="214" t="str">
        <f>IF(LEFT(F147,6)="Header","",INDEX('Tiered Cart Pricing Formulas'!$N:$N,MATCH(F147,'Tiered Cart Pricing Formulas'!$F:$F,0)))</f>
        <v/>
      </c>
      <c r="H147" s="51"/>
      <c r="I147" s="272"/>
      <c r="J147" s="214" t="str">
        <f>IF(M147="header","",INDEX('Tiered Cart Pricing Formulas'!$N:$N,MATCH(F147,'Tiered Cart Pricing Formulas'!$F:$F,0)))</f>
        <v/>
      </c>
      <c r="K147" s="268" t="str">
        <f>IF(LEFT(F147,6)="header","",INDEX('Tiered Cart Pricing Formulas'!$M:$M,MATCH(F147,'Tiered Cart Pricing Formulas'!$F:$F,0)))</f>
        <v/>
      </c>
      <c r="L147" s="268" cm="1">
        <f t="array" aca="1" ref="L147" ca="1">CELL("protect",A147)</f>
        <v>1</v>
      </c>
      <c r="M147" s="268" t="str">
        <f t="shared" si="4"/>
        <v>HEADER</v>
      </c>
      <c r="N147" s="268" t="str">
        <f t="shared" ca="1" si="5"/>
        <v>Good</v>
      </c>
      <c r="O147" s="268" t="str">
        <f>IF(M147="header","",INDEX('Tiered Cart Pricing Formulas'!$O:$O,MATCH(F147,'Tiered Cart Pricing Formulas'!$F:$F,0)))</f>
        <v/>
      </c>
    </row>
    <row r="148" spans="1:15" ht="15.75" x14ac:dyDescent="0.25">
      <c r="A148" s="48"/>
      <c r="B148" s="49" t="str">
        <f>INDEX('Pricing (Drugs) SS'!$B:$B,MATCH(F148,'Pricing (Drugs) SS'!$A:$A,0))</f>
        <v>NALOXONE HCl INJECTION, USP 0.4mg/mL 1mL VIAL</v>
      </c>
      <c r="C148" s="50" t="str">
        <f>IF(LEFT(F148,6)="Header","",INDEX('Pricing (Drugs) SS'!$E:$E,MATCH(F148,'Pricing (Drugs) SS'!$A:$A,0)))</f>
        <v>0.4mg/mL</v>
      </c>
      <c r="D148" s="49" t="str">
        <f>IF(LEFT(F148,6)="header","",INDEX('Pricing (Drugs) SS'!$F:$F,MATCH(F148,'Pricing (Drugs) SS'!$A:$A,0)))</f>
        <v>1mL</v>
      </c>
      <c r="E148" s="51" t="str">
        <f>IF(LEFT(F148,6)="Header","",INDEX('Pricing (Drugs) SS'!$D:$D,MATCH(F148,'Pricing (Drugs) SS'!$A:$A,0)))</f>
        <v>0641-6132-25</v>
      </c>
      <c r="F148" s="119">
        <v>1024160</v>
      </c>
      <c r="G148" s="214" t="str">
        <f>IF(LEFT(F148,6)="Header","",INDEX('Tiered Cart Pricing Formulas'!$N:$N,MATCH(F148,'Tiered Cart Pricing Formulas'!$F:$F,0)))</f>
        <v/>
      </c>
      <c r="H148" s="269"/>
      <c r="I148" s="270"/>
      <c r="J148" s="214" t="str">
        <f>IF(M148="header","",INDEX('Tiered Cart Pricing Formulas'!$N:$N,MATCH(F148,'Tiered Cart Pricing Formulas'!$F:$F,0)))</f>
        <v/>
      </c>
      <c r="K148" s="268" t="str">
        <f>IF(LEFT(F148,6)="header","",INDEX('Tiered Cart Pricing Formulas'!$M:$M,MATCH(F148,'Tiered Cart Pricing Formulas'!$F:$F,0)))</f>
        <v/>
      </c>
      <c r="L148" s="268" cm="1">
        <f t="array" aca="1" ref="L148" ca="1">CELL("protect",A148)</f>
        <v>0</v>
      </c>
      <c r="M148" s="268" t="str">
        <f t="shared" si="4"/>
        <v>102416</v>
      </c>
      <c r="N148" s="268" t="str">
        <f t="shared" ca="1" si="5"/>
        <v>Good</v>
      </c>
      <c r="O148" s="268" t="str">
        <f>IF(M148="header","",INDEX('Tiered Cart Pricing Formulas'!$O:$O,MATCH(F148,'Tiered Cart Pricing Formulas'!$F:$F,0)))</f>
        <v/>
      </c>
    </row>
    <row r="149" spans="1:15" ht="15.75" x14ac:dyDescent="0.25">
      <c r="A149" s="48"/>
      <c r="B149" s="49" t="str">
        <f>INDEX('Pricing (Drugs) SS'!$B:$B,MATCH(F149,'Pricing (Drugs) SS'!$A:$A,0))</f>
        <v>NALOXONE HYDROCHLORIDE INJECTION, USP 0.4mg/mL 10mL VIAL</v>
      </c>
      <c r="C149" s="50" t="str">
        <f>IF(LEFT(F149,6)="Header","",INDEX('Pricing (Drugs) SS'!$E:$E,MATCH(F149,'Pricing (Drugs) SS'!$A:$A,0)))</f>
        <v>0.4mg/mL</v>
      </c>
      <c r="D149" s="49" t="str">
        <f>IF(LEFT(F149,6)="header","",INDEX('Pricing (Drugs) SS'!$F:$F,MATCH(F149,'Pricing (Drugs) SS'!$A:$A,0)))</f>
        <v>10mL</v>
      </c>
      <c r="E149" s="51" t="str">
        <f>IF(LEFT(F149,6)="Header","",INDEX('Pricing (Drugs) SS'!$D:$D,MATCH(F149,'Pricing (Drugs) SS'!$A:$A,0)))</f>
        <v>0409-1219-01</v>
      </c>
      <c r="F149" s="119">
        <v>1011800</v>
      </c>
      <c r="G149" s="214" t="str">
        <f>IF(LEFT(F149,6)="Header","",INDEX('Tiered Cart Pricing Formulas'!$N:$N,MATCH(F149,'Tiered Cart Pricing Formulas'!$F:$F,0)))</f>
        <v/>
      </c>
      <c r="H149" s="269"/>
      <c r="I149" s="270"/>
      <c r="J149" s="214" t="str">
        <f>IF(M149="header","",INDEX('Tiered Cart Pricing Formulas'!$N:$N,MATCH(F149,'Tiered Cart Pricing Formulas'!$F:$F,0)))</f>
        <v/>
      </c>
      <c r="K149" s="268" t="str">
        <f>IF(LEFT(F149,6)="header","",INDEX('Tiered Cart Pricing Formulas'!$M:$M,MATCH(F149,'Tiered Cart Pricing Formulas'!$F:$F,0)))</f>
        <v/>
      </c>
      <c r="L149" s="268" cm="1">
        <f t="array" aca="1" ref="L149" ca="1">CELL("protect",A149)</f>
        <v>0</v>
      </c>
      <c r="M149" s="268" t="str">
        <f t="shared" si="4"/>
        <v>101180</v>
      </c>
      <c r="N149" s="268" t="str">
        <f t="shared" ca="1" si="5"/>
        <v>Good</v>
      </c>
      <c r="O149" s="268" t="str">
        <f>IF(M149="header","",INDEX('Tiered Cart Pricing Formulas'!$O:$O,MATCH(F149,'Tiered Cart Pricing Formulas'!$F:$F,0)))</f>
        <v/>
      </c>
    </row>
    <row r="150" spans="1:15" ht="15.75" x14ac:dyDescent="0.25">
      <c r="A150" s="48"/>
      <c r="B150" s="49" t="str">
        <f>INDEX('Pricing (Drugs) SS'!$B:$B,MATCH(F150,'Pricing (Drugs) SS'!$A:$A,0))</f>
        <v>NALOXONE HCI INJECTION, USP 4mg PER 10mL (0.4mg/mL) 10mL VIAL BOXED</v>
      </c>
      <c r="C150" s="50" t="str">
        <f>IF(LEFT(F150,6)="Header","",INDEX('Pricing (Drugs) SS'!$E:$E,MATCH(F150,'Pricing (Drugs) SS'!$A:$A,0)))</f>
        <v>0.4mg/mL</v>
      </c>
      <c r="D150" s="49" t="str">
        <f>IF(LEFT(F150,6)="header","",INDEX('Pricing (Drugs) SS'!$F:$F,MATCH(F150,'Pricing (Drugs) SS'!$A:$A,0)))</f>
        <v>10mL</v>
      </c>
      <c r="E150" s="51" t="str">
        <f>IF(LEFT(F150,6)="Header","",INDEX('Pricing (Drugs) SS'!$D:$D,MATCH(F150,'Pricing (Drugs) SS'!$A:$A,0)))</f>
        <v>70069-072-10</v>
      </c>
      <c r="F150" s="119">
        <v>1024630</v>
      </c>
      <c r="G150" s="214" t="str">
        <f>IF(LEFT(F150,6)="Header","",INDEX('Tiered Cart Pricing Formulas'!$N:$N,MATCH(F150,'Tiered Cart Pricing Formulas'!$F:$F,0)))</f>
        <v/>
      </c>
      <c r="H150" s="269"/>
      <c r="I150" s="270"/>
      <c r="J150" s="214" t="str">
        <f>IF(M150="header","",INDEX('Tiered Cart Pricing Formulas'!$N:$N,MATCH(F150,'Tiered Cart Pricing Formulas'!$F:$F,0)))</f>
        <v/>
      </c>
      <c r="K150" s="268" t="str">
        <f>IF(LEFT(F150,6)="header","",INDEX('Tiered Cart Pricing Formulas'!$M:$M,MATCH(F150,'Tiered Cart Pricing Formulas'!$F:$F,0)))</f>
        <v/>
      </c>
      <c r="L150" s="268" cm="1">
        <f t="array" aca="1" ref="L150" ca="1">CELL("protect",A150)</f>
        <v>0</v>
      </c>
      <c r="M150" s="268" t="str">
        <f t="shared" si="4"/>
        <v>102463</v>
      </c>
      <c r="N150" s="268" t="str">
        <f t="shared" ca="1" si="5"/>
        <v>Good</v>
      </c>
      <c r="O150" s="268" t="str">
        <f>IF(M150="header","",INDEX('Tiered Cart Pricing Formulas'!$O:$O,MATCH(F150,'Tiered Cart Pricing Formulas'!$F:$F,0)))</f>
        <v/>
      </c>
    </row>
    <row r="151" spans="1:15" ht="15.75" x14ac:dyDescent="0.25">
      <c r="A151" s="48"/>
      <c r="B151" s="49" t="str">
        <f>INDEX('Pricing (Drugs) SS'!$B:$B,MATCH(F151,'Pricing (Drugs) SS'!$A:$A,0))</f>
        <v>NALOXONE HYDROCHLORIDE INJECTION, USP 2mg PER 2mL (1mg/mL) 2mL SYR</v>
      </c>
      <c r="C151" s="50" t="str">
        <f>IF(LEFT(F151,6)="Header","",INDEX('Pricing (Drugs) SS'!$E:$E,MATCH(F151,'Pricing (Drugs) SS'!$A:$A,0)))</f>
        <v>1mg/mL</v>
      </c>
      <c r="D151" s="49" t="str">
        <f>IF(LEFT(F151,6)="header","",INDEX('Pricing (Drugs) SS'!$F:$F,MATCH(F151,'Pricing (Drugs) SS'!$A:$A,0)))</f>
        <v>2mL</v>
      </c>
      <c r="E151" s="51" t="str">
        <f>IF(LEFT(F151,6)="Header","",INDEX('Pricing (Drugs) SS'!$D:$D,MATCH(F151,'Pricing (Drugs) SS'!$A:$A,0)))</f>
        <v>55150-345-10</v>
      </c>
      <c r="F151" s="119">
        <v>1017790</v>
      </c>
      <c r="G151" s="214" t="str">
        <f>IF(LEFT(F151,6)="Header","",INDEX('Tiered Cart Pricing Formulas'!$N:$N,MATCH(F151,'Tiered Cart Pricing Formulas'!$F:$F,0)))</f>
        <v/>
      </c>
      <c r="H151" s="269"/>
      <c r="I151" s="270"/>
      <c r="J151" s="214" t="str">
        <f>IF(M151="header","",INDEX('Tiered Cart Pricing Formulas'!$N:$N,MATCH(F151,'Tiered Cart Pricing Formulas'!$F:$F,0)))</f>
        <v/>
      </c>
      <c r="K151" s="268" t="str">
        <f>IF(LEFT(F151,6)="header","",INDEX('Tiered Cart Pricing Formulas'!$M:$M,MATCH(F151,'Tiered Cart Pricing Formulas'!$F:$F,0)))</f>
        <v/>
      </c>
      <c r="L151" s="268" cm="1">
        <f t="array" aca="1" ref="L151" ca="1">CELL("protect",A151)</f>
        <v>0</v>
      </c>
      <c r="M151" s="268" t="str">
        <f t="shared" si="4"/>
        <v>101779</v>
      </c>
      <c r="N151" s="268" t="str">
        <f t="shared" ca="1" si="5"/>
        <v>Good</v>
      </c>
      <c r="O151" s="268" t="str">
        <f>IF(M151="header","",INDEX('Tiered Cart Pricing Formulas'!$O:$O,MATCH(F151,'Tiered Cart Pricing Formulas'!$F:$F,0)))</f>
        <v/>
      </c>
    </row>
    <row r="152" spans="1:15" ht="15.75" x14ac:dyDescent="0.25">
      <c r="A152" s="48"/>
      <c r="B152" s="49" t="str">
        <f>INDEX('Pricing (Drugs) SS'!$B:$B,MATCH(F152,'Pricing (Drugs) SS'!$A:$A,0))</f>
        <v>NARCAN NALOXONE HCI NASAL SPRAY 4mg/.1mL 2-PACK</v>
      </c>
      <c r="C152" s="50" t="str">
        <f>IF(LEFT(F152,6)="Header","",INDEX('Pricing (Drugs) SS'!$E:$E,MATCH(F152,'Pricing (Drugs) SS'!$A:$A,0)))</f>
        <v>4mg/.1mL</v>
      </c>
      <c r="D152" s="49" t="str">
        <f>IF(LEFT(F152,6)="header","",INDEX('Pricing (Drugs) SS'!$F:$F,MATCH(F152,'Pricing (Drugs) SS'!$A:$A,0)))</f>
        <v>0.1mL</v>
      </c>
      <c r="E152" s="51" t="str">
        <f>IF(LEFT(F152,6)="Header","",INDEX('Pricing (Drugs) SS'!$D:$D,MATCH(F152,'Pricing (Drugs) SS'!$A:$A,0)))</f>
        <v>69547-627-02</v>
      </c>
      <c r="F152" s="119">
        <v>1021770</v>
      </c>
      <c r="G152" s="214" t="str">
        <f>IF(LEFT(F152,6)="Header","",INDEX('Tiered Cart Pricing Formulas'!$N:$N,MATCH(F152,'Tiered Cart Pricing Formulas'!$F:$F,0)))</f>
        <v/>
      </c>
      <c r="H152" s="269"/>
      <c r="I152" s="270"/>
      <c r="J152" s="214" t="str">
        <f>IF(M152="header","",INDEX('Tiered Cart Pricing Formulas'!$N:$N,MATCH(F152,'Tiered Cart Pricing Formulas'!$F:$F,0)))</f>
        <v/>
      </c>
      <c r="K152" s="268" t="str">
        <f>IF(LEFT(F152,6)="header","",INDEX('Tiered Cart Pricing Formulas'!$M:$M,MATCH(F152,'Tiered Cart Pricing Formulas'!$F:$F,0)))</f>
        <v/>
      </c>
      <c r="L152" s="268" cm="1">
        <f t="array" aca="1" ref="L152" ca="1">CELL("protect",A152)</f>
        <v>0</v>
      </c>
      <c r="M152" s="268" t="str">
        <f t="shared" si="4"/>
        <v>102177</v>
      </c>
      <c r="N152" s="268" t="str">
        <f t="shared" ca="1" si="5"/>
        <v>Good</v>
      </c>
      <c r="O152" s="268" t="str">
        <f>IF(M152="header","",INDEX('Tiered Cart Pricing Formulas'!$O:$O,MATCH(F152,'Tiered Cart Pricing Formulas'!$F:$F,0)))</f>
        <v/>
      </c>
    </row>
    <row r="153" spans="1:15" ht="15.75" x14ac:dyDescent="0.25">
      <c r="A153" s="118"/>
      <c r="B153" s="49" t="str">
        <f>INDEX('Pricing (Drugs) SS'!$B:$B,MATCH(F153,'Pricing (Drugs) SS'!$A:$A,0))</f>
        <v>NICARDIPINE/ CARDENE</v>
      </c>
      <c r="C153" s="50" t="str">
        <f>IF(LEFT(F153,6)="Header","",INDEX('Pricing (Drugs) SS'!$E:$E,MATCH(F153,'Pricing (Drugs) SS'!$A:$A,0)))</f>
        <v/>
      </c>
      <c r="D153" s="49" t="str">
        <f>IF(LEFT(F153,6)="header","",INDEX('Pricing (Drugs) SS'!$F:$F,MATCH(F153,'Pricing (Drugs) SS'!$A:$A,0)))</f>
        <v/>
      </c>
      <c r="E153" s="51" t="str">
        <f>IF(LEFT(F153,6)="Header","",INDEX('Pricing (Drugs) SS'!$D:$D,MATCH(F153,'Pricing (Drugs) SS'!$A:$A,0)))</f>
        <v/>
      </c>
      <c r="F153" s="119" t="s">
        <v>1580</v>
      </c>
      <c r="G153" s="214" t="str">
        <f>IF(LEFT(F153,6)="Header","",INDEX('Tiered Cart Pricing Formulas'!$N:$N,MATCH(F153,'Tiered Cart Pricing Formulas'!$F:$F,0)))</f>
        <v/>
      </c>
      <c r="H153" s="51"/>
      <c r="I153" s="272"/>
      <c r="J153" s="214" t="str">
        <f>IF(M153="header","",INDEX('Tiered Cart Pricing Formulas'!$N:$N,MATCH(F153,'Tiered Cart Pricing Formulas'!$F:$F,0)))</f>
        <v/>
      </c>
      <c r="K153" s="268" t="str">
        <f>IF(LEFT(F153,6)="header","",INDEX('Tiered Cart Pricing Formulas'!$M:$M,MATCH(F153,'Tiered Cart Pricing Formulas'!$F:$F,0)))</f>
        <v/>
      </c>
      <c r="L153" s="268" cm="1">
        <f t="array" aca="1" ref="L153" ca="1">CELL("protect",A153)</f>
        <v>1</v>
      </c>
      <c r="M153" s="268" t="str">
        <f t="shared" si="4"/>
        <v>HEADER</v>
      </c>
      <c r="N153" s="268" t="str">
        <f t="shared" ca="1" si="5"/>
        <v>Good</v>
      </c>
      <c r="O153" s="268" t="str">
        <f>IF(M153="header","",INDEX('Tiered Cart Pricing Formulas'!$O:$O,MATCH(F153,'Tiered Cart Pricing Formulas'!$F:$F,0)))</f>
        <v/>
      </c>
    </row>
    <row r="154" spans="1:15" ht="15.75" x14ac:dyDescent="0.25">
      <c r="A154" s="48"/>
      <c r="B154" s="49" t="str">
        <f>INDEX('Pricing (Drugs) SS'!$B:$B,MATCH(F154,'Pricing (Drugs) SS'!$A:$A,0))</f>
        <v>NICARDIPINE HYDROCHLORIDE INJECTION 25mg/10mL (2.5 mg/mL) 10mL VIAL</v>
      </c>
      <c r="C154" s="50" t="str">
        <f>IF(LEFT(F154,6)="Header","",INDEX('Pricing (Drugs) SS'!$E:$E,MATCH(F154,'Pricing (Drugs) SS'!$A:$A,0)))</f>
        <v>2.5mg/mL</v>
      </c>
      <c r="D154" s="49" t="str">
        <f>IF(LEFT(F154,6)="header","",INDEX('Pricing (Drugs) SS'!$F:$F,MATCH(F154,'Pricing (Drugs) SS'!$A:$A,0)))</f>
        <v>10mL</v>
      </c>
      <c r="E154" s="51" t="str">
        <f>IF(LEFT(F154,6)="Header","",INDEX('Pricing (Drugs) SS'!$D:$D,MATCH(F154,'Pricing (Drugs) SS'!$A:$A,0)))</f>
        <v>0143-9689-10</v>
      </c>
      <c r="F154" s="119">
        <v>1013020</v>
      </c>
      <c r="G154" s="214" t="str">
        <f>IF(LEFT(F154,6)="Header","",INDEX('Tiered Cart Pricing Formulas'!$N:$N,MATCH(F154,'Tiered Cart Pricing Formulas'!$F:$F,0)))</f>
        <v/>
      </c>
      <c r="H154" s="269"/>
      <c r="I154" s="270"/>
      <c r="J154" s="214" t="str">
        <f>IF(M154="header","",INDEX('Tiered Cart Pricing Formulas'!$N:$N,MATCH(F154,'Tiered Cart Pricing Formulas'!$F:$F,0)))</f>
        <v/>
      </c>
      <c r="K154" s="268" t="str">
        <f>IF(LEFT(F154,6)="header","",INDEX('Tiered Cart Pricing Formulas'!$M:$M,MATCH(F154,'Tiered Cart Pricing Formulas'!$F:$F,0)))</f>
        <v/>
      </c>
      <c r="L154" s="268" cm="1">
        <f t="array" aca="1" ref="L154" ca="1">CELL("protect",A154)</f>
        <v>0</v>
      </c>
      <c r="M154" s="268" t="str">
        <f t="shared" si="4"/>
        <v>101302</v>
      </c>
      <c r="N154" s="268" t="str">
        <f t="shared" ca="1" si="5"/>
        <v>Good</v>
      </c>
      <c r="O154" s="268" t="str">
        <f>IF(M154="header","",INDEX('Tiered Cart Pricing Formulas'!$O:$O,MATCH(F154,'Tiered Cart Pricing Formulas'!$F:$F,0)))</f>
        <v/>
      </c>
    </row>
    <row r="155" spans="1:15" ht="15.75" x14ac:dyDescent="0.25">
      <c r="A155" s="118"/>
      <c r="B155" s="49" t="str">
        <f>INDEX('Pricing (Drugs) SS'!$B:$B,MATCH(F155,'Pricing (Drugs) SS'!$A:$A,0))</f>
        <v>NITROGLYCERIN</v>
      </c>
      <c r="C155" s="50" t="str">
        <f>IF(LEFT(F155,6)="Header","",INDEX('Pricing (Drugs) SS'!$E:$E,MATCH(F155,'Pricing (Drugs) SS'!$A:$A,0)))</f>
        <v/>
      </c>
      <c r="D155" s="49" t="str">
        <f>IF(LEFT(F155,6)="header","",INDEX('Pricing (Drugs) SS'!$F:$F,MATCH(F155,'Pricing (Drugs) SS'!$A:$A,0)))</f>
        <v/>
      </c>
      <c r="E155" s="51" t="str">
        <f>IF(LEFT(F155,6)="Header","",INDEX('Pricing (Drugs) SS'!$D:$D,MATCH(F155,'Pricing (Drugs) SS'!$A:$A,0)))</f>
        <v/>
      </c>
      <c r="F155" s="119" t="s">
        <v>1581</v>
      </c>
      <c r="G155" s="214" t="str">
        <f>IF(LEFT(F155,6)="Header","",INDEX('Tiered Cart Pricing Formulas'!$N:$N,MATCH(F155,'Tiered Cart Pricing Formulas'!$F:$F,0)))</f>
        <v/>
      </c>
      <c r="H155" s="51"/>
      <c r="I155" s="272"/>
      <c r="J155" s="214" t="str">
        <f>IF(M155="header","",INDEX('Tiered Cart Pricing Formulas'!$N:$N,MATCH(F155,'Tiered Cart Pricing Formulas'!$F:$F,0)))</f>
        <v/>
      </c>
      <c r="K155" s="268" t="str">
        <f>IF(LEFT(F155,6)="header","",INDEX('Tiered Cart Pricing Formulas'!$M:$M,MATCH(F155,'Tiered Cart Pricing Formulas'!$F:$F,0)))</f>
        <v/>
      </c>
      <c r="L155" s="268" cm="1">
        <f t="array" aca="1" ref="L155" ca="1">CELL("protect",A155)</f>
        <v>1</v>
      </c>
      <c r="M155" s="268" t="str">
        <f t="shared" si="4"/>
        <v>HEADER</v>
      </c>
      <c r="N155" s="268" t="str">
        <f t="shared" ca="1" si="5"/>
        <v>Good</v>
      </c>
      <c r="O155" s="268" t="str">
        <f>IF(M155="header","",INDEX('Tiered Cart Pricing Formulas'!$O:$O,MATCH(F155,'Tiered Cart Pricing Formulas'!$F:$F,0)))</f>
        <v/>
      </c>
    </row>
    <row r="156" spans="1:15" ht="15.75" x14ac:dyDescent="0.25">
      <c r="A156" s="48"/>
      <c r="B156" s="49" t="str">
        <f>INDEX('Pricing (Drugs) SS'!$B:$B,MATCH(F156,'Pricing (Drugs) SS'!$A:$A,0))</f>
        <v>NITROGLYCERIN INJECTION, USP 50mg/10mL (5mg/mL) 10mL VIAL</v>
      </c>
      <c r="C156" s="50" t="str">
        <f>IF(LEFT(F156,6)="Header","",INDEX('Pricing (Drugs) SS'!$E:$E,MATCH(F156,'Pricing (Drugs) SS'!$A:$A,0)))</f>
        <v>5mg/mL</v>
      </c>
      <c r="D156" s="49" t="str">
        <f>IF(LEFT(F156,6)="header","",INDEX('Pricing (Drugs) SS'!$F:$F,MATCH(F156,'Pricing (Drugs) SS'!$A:$A,0)))</f>
        <v>10mL</v>
      </c>
      <c r="E156" s="51" t="str">
        <f>IF(LEFT(F156,6)="Header","",INDEX('Pricing (Drugs) SS'!$D:$D,MATCH(F156,'Pricing (Drugs) SS'!$A:$A,0)))</f>
        <v>0517-4810-25</v>
      </c>
      <c r="F156" s="119">
        <v>1012240</v>
      </c>
      <c r="G156" s="214" t="str">
        <f>IF(LEFT(F156,6)="Header","",INDEX('Tiered Cart Pricing Formulas'!$N:$N,MATCH(F156,'Tiered Cart Pricing Formulas'!$F:$F,0)))</f>
        <v/>
      </c>
      <c r="H156" s="269"/>
      <c r="I156" s="270"/>
      <c r="J156" s="214" t="str">
        <f>IF(M156="header","",INDEX('Tiered Cart Pricing Formulas'!$N:$N,MATCH(F156,'Tiered Cart Pricing Formulas'!$F:$F,0)))</f>
        <v/>
      </c>
      <c r="K156" s="268" t="str">
        <f>IF(LEFT(F156,6)="header","",INDEX('Tiered Cart Pricing Formulas'!$M:$M,MATCH(F156,'Tiered Cart Pricing Formulas'!$F:$F,0)))</f>
        <v/>
      </c>
      <c r="L156" s="268" cm="1">
        <f t="array" aca="1" ref="L156" ca="1">CELL("protect",A156)</f>
        <v>0</v>
      </c>
      <c r="M156" s="268" t="str">
        <f t="shared" si="4"/>
        <v>101224</v>
      </c>
      <c r="N156" s="268" t="str">
        <f t="shared" ca="1" si="5"/>
        <v>Good</v>
      </c>
      <c r="O156" s="268" t="str">
        <f>IF(M156="header","",INDEX('Tiered Cart Pricing Formulas'!$O:$O,MATCH(F156,'Tiered Cart Pricing Formulas'!$F:$F,0)))</f>
        <v/>
      </c>
    </row>
    <row r="157" spans="1:15" ht="15.75" x14ac:dyDescent="0.25">
      <c r="A157" s="48"/>
      <c r="B157" s="49" t="str">
        <f>INDEX('Pricing (Drugs) SS'!$B:$B,MATCH(F157,'Pricing (Drugs) SS'!$A:$A,0))</f>
        <v>NITROGLYCERIN LINGUAL SPRAY 400 mcg PER SPRAY 60 METERED SPRAYS BOXED</v>
      </c>
      <c r="C157" s="50" t="str">
        <f>IF(LEFT(F157,6)="Header","",INDEX('Pricing (Drugs) SS'!$E:$E,MATCH(F157,'Pricing (Drugs) SS'!$A:$A,0)))</f>
        <v>400mcg per spray</v>
      </c>
      <c r="D157" s="49" t="str">
        <f>IF(LEFT(F157,6)="header","",INDEX('Pricing (Drugs) SS'!$F:$F,MATCH(F157,'Pricing (Drugs) SS'!$A:$A,0)))</f>
        <v>4.9g</v>
      </c>
      <c r="E157" s="51" t="str">
        <f>IF(LEFT(F157,6)="Header","",INDEX('Pricing (Drugs) SS'!$D:$D,MATCH(F157,'Pricing (Drugs) SS'!$A:$A,0)))</f>
        <v>66993-241-50</v>
      </c>
      <c r="F157" s="119">
        <v>1024170</v>
      </c>
      <c r="G157" s="214" t="str">
        <f>IF(LEFT(F157,6)="Header","",INDEX('Tiered Cart Pricing Formulas'!$N:$N,MATCH(F157,'Tiered Cart Pricing Formulas'!$F:$F,0)))</f>
        <v/>
      </c>
      <c r="H157" s="269"/>
      <c r="I157" s="270"/>
      <c r="J157" s="214" t="str">
        <f>IF(M157="header","",INDEX('Tiered Cart Pricing Formulas'!$N:$N,MATCH(F157,'Tiered Cart Pricing Formulas'!$F:$F,0)))</f>
        <v/>
      </c>
      <c r="K157" s="268" t="str">
        <f>IF(LEFT(F157,6)="header","",INDEX('Tiered Cart Pricing Formulas'!$M:$M,MATCH(F157,'Tiered Cart Pricing Formulas'!$F:$F,0)))</f>
        <v/>
      </c>
      <c r="L157" s="268" cm="1">
        <f t="array" aca="1" ref="L157" ca="1">CELL("protect",A157)</f>
        <v>0</v>
      </c>
      <c r="M157" s="268" t="str">
        <f t="shared" si="4"/>
        <v>102417</v>
      </c>
      <c r="N157" s="268" t="str">
        <f t="shared" ca="1" si="5"/>
        <v>Good</v>
      </c>
      <c r="O157" s="268" t="str">
        <f>IF(M157="header","",INDEX('Tiered Cart Pricing Formulas'!$O:$O,MATCH(F157,'Tiered Cart Pricing Formulas'!$F:$F,0)))</f>
        <v/>
      </c>
    </row>
    <row r="158" spans="1:15" ht="15.75" x14ac:dyDescent="0.25">
      <c r="A158" s="48"/>
      <c r="B158" s="49" t="str">
        <f>INDEX('Pricing (Drugs) SS'!$B:$B,MATCH(F158,'Pricing (Drugs) SS'!$A:$A,0))</f>
        <v>NITROGLYCERIN SUBLINGUAL TABLETS, USP 0.4mg/TABLET 25TABS</v>
      </c>
      <c r="C158" s="50" t="str">
        <f>IF(LEFT(F158,6)="Header","",INDEX('Pricing (Drugs) SS'!$E:$E,MATCH(F158,'Pricing (Drugs) SS'!$A:$A,0)))</f>
        <v>0.4mg/tablets</v>
      </c>
      <c r="D158" s="49" t="str">
        <f>IF(LEFT(F158,6)="header","",INDEX('Pricing (Drugs) SS'!$F:$F,MATCH(F158,'Pricing (Drugs) SS'!$A:$A,0)))</f>
        <v>25 tablets</v>
      </c>
      <c r="E158" s="51" t="str">
        <f>IF(LEFT(F158,6)="Header","",INDEX('Pricing (Drugs) SS'!$D:$D,MATCH(F158,'Pricing (Drugs) SS'!$A:$A,0)))</f>
        <v>43598-436-11</v>
      </c>
      <c r="F158" s="119">
        <v>1001140</v>
      </c>
      <c r="G158" s="214" t="str">
        <f>IF(LEFT(F158,6)="Header","",INDEX('Tiered Cart Pricing Formulas'!$N:$N,MATCH(F158,'Tiered Cart Pricing Formulas'!$F:$F,0)))</f>
        <v/>
      </c>
      <c r="H158" s="269"/>
      <c r="I158" s="270"/>
      <c r="J158" s="214" t="str">
        <f>IF(M158="header","",INDEX('Tiered Cart Pricing Formulas'!$N:$N,MATCH(F158,'Tiered Cart Pricing Formulas'!$F:$F,0)))</f>
        <v/>
      </c>
      <c r="K158" s="268" t="str">
        <f>IF(LEFT(F158,6)="header","",INDEX('Tiered Cart Pricing Formulas'!$M:$M,MATCH(F158,'Tiered Cart Pricing Formulas'!$F:$F,0)))</f>
        <v/>
      </c>
      <c r="L158" s="268" cm="1">
        <f t="array" aca="1" ref="L158" ca="1">CELL("protect",A158)</f>
        <v>0</v>
      </c>
      <c r="M158" s="268" t="str">
        <f t="shared" si="4"/>
        <v>100114</v>
      </c>
      <c r="N158" s="268" t="str">
        <f t="shared" ca="1" si="5"/>
        <v>Good</v>
      </c>
      <c r="O158" s="268" t="str">
        <f>IF(M158="header","",INDEX('Tiered Cart Pricing Formulas'!$O:$O,MATCH(F158,'Tiered Cart Pricing Formulas'!$F:$F,0)))</f>
        <v/>
      </c>
    </row>
    <row r="159" spans="1:15" ht="15.75" x14ac:dyDescent="0.25">
      <c r="A159" s="48"/>
      <c r="B159" s="49" t="str">
        <f>INDEX('Pricing (Drugs) SS'!$B:$B,MATCH(F159,'Pricing (Drugs) SS'!$A:$A,0))</f>
        <v>NITROGLYCERIN SUBLINGUAL TABLETS, USP 0.4mg/TABLET 25TABS</v>
      </c>
      <c r="C159" s="50" t="str">
        <f>IF(LEFT(F159,6)="Header","",INDEX('Pricing (Drugs) SS'!$E:$E,MATCH(F159,'Pricing (Drugs) SS'!$A:$A,0)))</f>
        <v>.4 mg/1</v>
      </c>
      <c r="D159" s="49" t="str">
        <f>IF(LEFT(F159,6)="header","",INDEX('Pricing (Drugs) SS'!$F:$F,MATCH(F159,'Pricing (Drugs) SS'!$A:$A,0)))</f>
        <v>25 tablets</v>
      </c>
      <c r="E159" s="51" t="str">
        <f>IF(LEFT(F159,6)="Header","",INDEX('Pricing (Drugs) SS'!$D:$D,MATCH(F159,'Pricing (Drugs) SS'!$A:$A,0)))</f>
        <v>72888-139-33</v>
      </c>
      <c r="F159" s="119">
        <v>1024800</v>
      </c>
      <c r="G159" s="214" t="str">
        <f>IF(LEFT(F159,6)="Header","",INDEX('Tiered Cart Pricing Formulas'!$N:$N,MATCH(F159,'Tiered Cart Pricing Formulas'!$F:$F,0)))</f>
        <v/>
      </c>
      <c r="H159" s="269"/>
      <c r="I159" s="270"/>
      <c r="J159" s="214" t="str">
        <f>IF(M159="header","",INDEX('Tiered Cart Pricing Formulas'!$N:$N,MATCH(F159,'Tiered Cart Pricing Formulas'!$F:$F,0)))</f>
        <v/>
      </c>
      <c r="K159" s="268" t="str">
        <f>IF(LEFT(F159,6)="header","",INDEX('Tiered Cart Pricing Formulas'!$M:$M,MATCH(F159,'Tiered Cart Pricing Formulas'!$F:$F,0)))</f>
        <v/>
      </c>
      <c r="L159" s="268" cm="1">
        <f t="array" aca="1" ref="L159" ca="1">CELL("protect",A159)</f>
        <v>0</v>
      </c>
      <c r="M159" s="268" t="str">
        <f t="shared" si="4"/>
        <v>102480</v>
      </c>
      <c r="N159" s="268" t="str">
        <f t="shared" ca="1" si="5"/>
        <v>Good</v>
      </c>
      <c r="O159" s="268" t="str">
        <f>IF(M159="header","",INDEX('Tiered Cart Pricing Formulas'!$O:$O,MATCH(F159,'Tiered Cart Pricing Formulas'!$F:$F,0)))</f>
        <v/>
      </c>
    </row>
    <row r="160" spans="1:15" ht="15.75" x14ac:dyDescent="0.25">
      <c r="A160" s="118"/>
      <c r="B160" s="49" t="str">
        <f>INDEX('Pricing (Drugs) SS'!$B:$B,MATCH(F160,'Pricing (Drugs) SS'!$A:$A,0))</f>
        <v>NOREPINEPHRINE / LEVOPHED</v>
      </c>
      <c r="C160" s="50" t="str">
        <f>IF(LEFT(F160,6)="Header","",INDEX('Pricing (Drugs) SS'!$E:$E,MATCH(F160,'Pricing (Drugs) SS'!$A:$A,0)))</f>
        <v/>
      </c>
      <c r="D160" s="49" t="str">
        <f>IF(LEFT(F160,6)="header","",INDEX('Pricing (Drugs) SS'!$F:$F,MATCH(F160,'Pricing (Drugs) SS'!$A:$A,0)))</f>
        <v/>
      </c>
      <c r="E160" s="51" t="str">
        <f>IF(LEFT(F160,6)="Header","",INDEX('Pricing (Drugs) SS'!$D:$D,MATCH(F160,'Pricing (Drugs) SS'!$A:$A,0)))</f>
        <v/>
      </c>
      <c r="F160" s="119" t="s">
        <v>1582</v>
      </c>
      <c r="G160" s="214" t="str">
        <f>IF(LEFT(F160,6)="Header","",INDEX('Tiered Cart Pricing Formulas'!$N:$N,MATCH(F160,'Tiered Cart Pricing Formulas'!$F:$F,0)))</f>
        <v/>
      </c>
      <c r="H160" s="51"/>
      <c r="I160" s="272"/>
      <c r="J160" s="214" t="str">
        <f>IF(M160="header","",INDEX('Tiered Cart Pricing Formulas'!$N:$N,MATCH(F160,'Tiered Cart Pricing Formulas'!$F:$F,0)))</f>
        <v/>
      </c>
      <c r="K160" s="268" t="str">
        <f>IF(LEFT(F160,6)="header","",INDEX('Tiered Cart Pricing Formulas'!$M:$M,MATCH(F160,'Tiered Cart Pricing Formulas'!$F:$F,0)))</f>
        <v/>
      </c>
      <c r="L160" s="268" cm="1">
        <f t="array" aca="1" ref="L160" ca="1">CELL("protect",A160)</f>
        <v>1</v>
      </c>
      <c r="M160" s="268" t="str">
        <f t="shared" si="4"/>
        <v>HEADER</v>
      </c>
      <c r="N160" s="268" t="str">
        <f t="shared" ca="1" si="5"/>
        <v>Good</v>
      </c>
      <c r="O160" s="268" t="str">
        <f>IF(M160="header","",INDEX('Tiered Cart Pricing Formulas'!$O:$O,MATCH(F160,'Tiered Cart Pricing Formulas'!$F:$F,0)))</f>
        <v/>
      </c>
    </row>
    <row r="161" spans="1:15" ht="15.75" x14ac:dyDescent="0.25">
      <c r="A161" s="48"/>
      <c r="B161" s="49" t="str">
        <f>INDEX('Pricing (Drugs) SS'!$B:$B,MATCH(F161,'Pricing (Drugs) SS'!$A:$A,0))</f>
        <v>NOREPINEPHRINE BITARTRATE INJECTION, USP 4mg PER 4mL (1 mg/mL) 4mL VIAL</v>
      </c>
      <c r="C161" s="50" t="str">
        <f>IF(LEFT(F161,6)="Header","",INDEX('Pricing (Drugs) SS'!$E:$E,MATCH(F161,'Pricing (Drugs) SS'!$A:$A,0)))</f>
        <v>1mg/mL</v>
      </c>
      <c r="D161" s="49" t="str">
        <f>IF(LEFT(F161,6)="header","",INDEX('Pricing (Drugs) SS'!$F:$F,MATCH(F161,'Pricing (Drugs) SS'!$A:$A,0)))</f>
        <v>4mL</v>
      </c>
      <c r="E161" s="51" t="str">
        <f>IF(LEFT(F161,6)="Header","",INDEX('Pricing (Drugs) SS'!$D:$D,MATCH(F161,'Pricing (Drugs) SS'!$A:$A,0)))</f>
        <v>0143-9318-10</v>
      </c>
      <c r="F161" s="119">
        <v>1015820</v>
      </c>
      <c r="G161" s="214" t="str">
        <f>IF(LEFT(F161,6)="Header","",INDEX('Tiered Cart Pricing Formulas'!$N:$N,MATCH(F161,'Tiered Cart Pricing Formulas'!$F:$F,0)))</f>
        <v/>
      </c>
      <c r="H161" s="269"/>
      <c r="I161" s="270"/>
      <c r="J161" s="214" t="str">
        <f>IF(M161="header","",INDEX('Tiered Cart Pricing Formulas'!$N:$N,MATCH(F161,'Tiered Cart Pricing Formulas'!$F:$F,0)))</f>
        <v/>
      </c>
      <c r="K161" s="268" t="str">
        <f>IF(LEFT(F161,6)="header","",INDEX('Tiered Cart Pricing Formulas'!$M:$M,MATCH(F161,'Tiered Cart Pricing Formulas'!$F:$F,0)))</f>
        <v/>
      </c>
      <c r="L161" s="268" cm="1">
        <f t="array" aca="1" ref="L161" ca="1">CELL("protect",A161)</f>
        <v>0</v>
      </c>
      <c r="M161" s="268" t="str">
        <f t="shared" si="4"/>
        <v>101582</v>
      </c>
      <c r="N161" s="268" t="str">
        <f t="shared" ca="1" si="5"/>
        <v>Good</v>
      </c>
      <c r="O161" s="268" t="str">
        <f>IF(M161="header","",INDEX('Tiered Cart Pricing Formulas'!$O:$O,MATCH(F161,'Tiered Cart Pricing Formulas'!$F:$F,0)))</f>
        <v/>
      </c>
    </row>
    <row r="162" spans="1:15" ht="15.75" x14ac:dyDescent="0.25">
      <c r="A162" s="118"/>
      <c r="B162" s="49" t="str">
        <f>INDEX('Pricing (Drugs) SS'!$B:$B,MATCH(F162,'Pricing (Drugs) SS'!$A:$A,0))</f>
        <v>ONDANSETRON</v>
      </c>
      <c r="C162" s="50" t="str">
        <f>IF(LEFT(F162,6)="Header","",INDEX('Pricing (Drugs) SS'!$E:$E,MATCH(F162,'Pricing (Drugs) SS'!$A:$A,0)))</f>
        <v/>
      </c>
      <c r="D162" s="49" t="str">
        <f>IF(LEFT(F162,6)="header","",INDEX('Pricing (Drugs) SS'!$F:$F,MATCH(F162,'Pricing (Drugs) SS'!$A:$A,0)))</f>
        <v/>
      </c>
      <c r="E162" s="51" t="str">
        <f>IF(LEFT(F162,6)="Header","",INDEX('Pricing (Drugs) SS'!$D:$D,MATCH(F162,'Pricing (Drugs) SS'!$A:$A,0)))</f>
        <v/>
      </c>
      <c r="F162" s="119" t="s">
        <v>1583</v>
      </c>
      <c r="G162" s="214" t="str">
        <f>IF(LEFT(F162,6)="Header","",INDEX('Tiered Cart Pricing Formulas'!$N:$N,MATCH(F162,'Tiered Cart Pricing Formulas'!$F:$F,0)))</f>
        <v/>
      </c>
      <c r="H162" s="51"/>
      <c r="I162" s="272"/>
      <c r="J162" s="214" t="str">
        <f>IF(M162="header","",INDEX('Tiered Cart Pricing Formulas'!$N:$N,MATCH(F162,'Tiered Cart Pricing Formulas'!$F:$F,0)))</f>
        <v/>
      </c>
      <c r="K162" s="268" t="str">
        <f>IF(LEFT(F162,6)="header","",INDEX('Tiered Cart Pricing Formulas'!$M:$M,MATCH(F162,'Tiered Cart Pricing Formulas'!$F:$F,0)))</f>
        <v/>
      </c>
      <c r="L162" s="268" cm="1">
        <f t="array" aca="1" ref="L162" ca="1">CELL("protect",A162)</f>
        <v>1</v>
      </c>
      <c r="M162" s="268" t="str">
        <f t="shared" si="4"/>
        <v>HEADER</v>
      </c>
      <c r="N162" s="268" t="str">
        <f t="shared" ca="1" si="5"/>
        <v>Good</v>
      </c>
      <c r="O162" s="268" t="str">
        <f>IF(M162="header","",INDEX('Tiered Cart Pricing Formulas'!$O:$O,MATCH(F162,'Tiered Cart Pricing Formulas'!$F:$F,0)))</f>
        <v/>
      </c>
    </row>
    <row r="163" spans="1:15" ht="15.75" x14ac:dyDescent="0.25">
      <c r="A163" s="48"/>
      <c r="B163" s="49" t="str">
        <f>INDEX('Pricing (Drugs) SS'!$B:$B,MATCH(F163,'Pricing (Drugs) SS'!$A:$A,0))</f>
        <v>ONDANSETRON ORALLY DISINTEGRATING TABLETS, USP 4mg (2 PACK)</v>
      </c>
      <c r="C163" s="50" t="str">
        <f>IF(LEFT(F163,6)="Header","",INDEX('Pricing (Drugs) SS'!$E:$E,MATCH(F163,'Pricing (Drugs) SS'!$A:$A,0)))</f>
        <v>4mg</v>
      </c>
      <c r="D163" s="49" t="str">
        <f>IF(LEFT(F163,6)="header","",INDEX('Pricing (Drugs) SS'!$F:$F,MATCH(F163,'Pricing (Drugs) SS'!$A:$A,0)))</f>
        <v>1 TABLET</v>
      </c>
      <c r="E163" s="51" t="str">
        <f>IF(LEFT(F163,6)="Header","",INDEX('Pricing (Drugs) SS'!$D:$D,MATCH(F163,'Pricing (Drugs) SS'!$A:$A,0)))</f>
        <v>57237-077-10</v>
      </c>
      <c r="F163" s="119">
        <v>1014330</v>
      </c>
      <c r="G163" s="214" t="str">
        <f>IF(LEFT(F163,6)="Header","",INDEX('Tiered Cart Pricing Formulas'!$N:$N,MATCH(F163,'Tiered Cart Pricing Formulas'!$F:$F,0)))</f>
        <v/>
      </c>
      <c r="H163" s="269"/>
      <c r="I163" s="270"/>
      <c r="J163" s="214" t="str">
        <f>IF(M163="header","",INDEX('Tiered Cart Pricing Formulas'!$N:$N,MATCH(F163,'Tiered Cart Pricing Formulas'!$F:$F,0)))</f>
        <v/>
      </c>
      <c r="K163" s="268" t="str">
        <f>IF(LEFT(F163,6)="header","",INDEX('Tiered Cart Pricing Formulas'!$M:$M,MATCH(F163,'Tiered Cart Pricing Formulas'!$F:$F,0)))</f>
        <v/>
      </c>
      <c r="L163" s="268" cm="1">
        <f t="array" aca="1" ref="L163" ca="1">CELL("protect",A163)</f>
        <v>0</v>
      </c>
      <c r="M163" s="268" t="str">
        <f t="shared" si="4"/>
        <v>101433</v>
      </c>
      <c r="N163" s="268" t="str">
        <f t="shared" ca="1" si="5"/>
        <v>Good</v>
      </c>
      <c r="O163" s="268" t="str">
        <f>IF(M163="header","",INDEX('Tiered Cart Pricing Formulas'!$O:$O,MATCH(F163,'Tiered Cart Pricing Formulas'!$F:$F,0)))</f>
        <v/>
      </c>
    </row>
    <row r="164" spans="1:15" ht="15.75" x14ac:dyDescent="0.25">
      <c r="A164" s="48"/>
      <c r="B164" s="49" t="str">
        <f>INDEX('Pricing (Drugs) SS'!$B:$B,MATCH(F164,'Pricing (Drugs) SS'!$A:$A,0))</f>
        <v>ONDANSETRON INJECTION, USP 4mg/2mL (2mg/mL) VIAL</v>
      </c>
      <c r="C164" s="50" t="str">
        <f>IF(LEFT(F164,6)="Header","",INDEX('Pricing (Drugs) SS'!$E:$E,MATCH(F164,'Pricing (Drugs) SS'!$A:$A,0)))</f>
        <v>2mg/mL</v>
      </c>
      <c r="D164" s="49" t="str">
        <f>IF(LEFT(F164,6)="header","",INDEX('Pricing (Drugs) SS'!$F:$F,MATCH(F164,'Pricing (Drugs) SS'!$A:$A,0)))</f>
        <v>2mL</v>
      </c>
      <c r="E164" s="51" t="str">
        <f>IF(LEFT(F164,6)="Header","",INDEX('Pricing (Drugs) SS'!$D:$D,MATCH(F164,'Pricing (Drugs) SS'!$A:$A,0)))</f>
        <v>0641-6078-25</v>
      </c>
      <c r="F164" s="119">
        <v>1000480</v>
      </c>
      <c r="G164" s="214" t="str">
        <f>IF(LEFT(F164,6)="Header","",INDEX('Tiered Cart Pricing Formulas'!$N:$N,MATCH(F164,'Tiered Cart Pricing Formulas'!$F:$F,0)))</f>
        <v/>
      </c>
      <c r="H164" s="269"/>
      <c r="I164" s="270"/>
      <c r="J164" s="214" t="str">
        <f>IF(M164="header","",INDEX('Tiered Cart Pricing Formulas'!$N:$N,MATCH(F164,'Tiered Cart Pricing Formulas'!$F:$F,0)))</f>
        <v/>
      </c>
      <c r="K164" s="268" t="str">
        <f>IF(LEFT(F164,6)="header","",INDEX('Tiered Cart Pricing Formulas'!$M:$M,MATCH(F164,'Tiered Cart Pricing Formulas'!$F:$F,0)))</f>
        <v/>
      </c>
      <c r="L164" s="268" cm="1">
        <f t="array" aca="1" ref="L164" ca="1">CELL("protect",A164)</f>
        <v>0</v>
      </c>
      <c r="M164" s="268" t="str">
        <f t="shared" si="4"/>
        <v>100048</v>
      </c>
      <c r="N164" s="268" t="str">
        <f t="shared" ca="1" si="5"/>
        <v>Good</v>
      </c>
      <c r="O164" s="268" t="str">
        <f>IF(M164="header","",INDEX('Tiered Cart Pricing Formulas'!$O:$O,MATCH(F164,'Tiered Cart Pricing Formulas'!$F:$F,0)))</f>
        <v/>
      </c>
    </row>
    <row r="165" spans="1:15" ht="15.75" x14ac:dyDescent="0.25">
      <c r="A165" s="118"/>
      <c r="B165" s="49" t="str">
        <f>INDEX('Pricing (Drugs) SS'!$B:$B,MATCH(F165,'Pricing (Drugs) SS'!$A:$A,0))</f>
        <v>PHENYLEPHRINE</v>
      </c>
      <c r="C165" s="50" t="str">
        <f>IF(LEFT(F165,6)="Header","",INDEX('Pricing (Drugs) SS'!$E:$E,MATCH(F165,'Pricing (Drugs) SS'!$A:$A,0)))</f>
        <v/>
      </c>
      <c r="D165" s="49" t="str">
        <f>IF(LEFT(F165,6)="header","",INDEX('Pricing (Drugs) SS'!$F:$F,MATCH(F165,'Pricing (Drugs) SS'!$A:$A,0)))</f>
        <v/>
      </c>
      <c r="E165" s="51" t="str">
        <f>IF(LEFT(F165,6)="Header","",INDEX('Pricing (Drugs) SS'!$D:$D,MATCH(F165,'Pricing (Drugs) SS'!$A:$A,0)))</f>
        <v/>
      </c>
      <c r="F165" s="119" t="s">
        <v>1584</v>
      </c>
      <c r="G165" s="214" t="str">
        <f>IF(LEFT(F165,6)="Header","",INDEX('Tiered Cart Pricing Formulas'!$N:$N,MATCH(F165,'Tiered Cart Pricing Formulas'!$F:$F,0)))</f>
        <v/>
      </c>
      <c r="H165" s="51"/>
      <c r="I165" s="272"/>
      <c r="J165" s="214" t="str">
        <f>IF(M165="header","",INDEX('Tiered Cart Pricing Formulas'!$N:$N,MATCH(F165,'Tiered Cart Pricing Formulas'!$F:$F,0)))</f>
        <v/>
      </c>
      <c r="K165" s="268" t="str">
        <f>IF(LEFT(F165,6)="header","",INDEX('Tiered Cart Pricing Formulas'!$M:$M,MATCH(F165,'Tiered Cart Pricing Formulas'!$F:$F,0)))</f>
        <v/>
      </c>
      <c r="L165" s="268" cm="1">
        <f t="array" aca="1" ref="L165" ca="1">CELL("protect",A165)</f>
        <v>1</v>
      </c>
      <c r="M165" s="268" t="str">
        <f t="shared" si="4"/>
        <v>HEADER</v>
      </c>
      <c r="N165" s="268" t="str">
        <f t="shared" ca="1" si="5"/>
        <v>Good</v>
      </c>
      <c r="O165" s="268" t="str">
        <f>IF(M165="header","",INDEX('Tiered Cart Pricing Formulas'!$O:$O,MATCH(F165,'Tiered Cart Pricing Formulas'!$F:$F,0)))</f>
        <v/>
      </c>
    </row>
    <row r="166" spans="1:15" ht="15.75" x14ac:dyDescent="0.25">
      <c r="A166" s="48"/>
      <c r="B166" s="49" t="str">
        <f>INDEX('Pricing (Drugs) SS'!$B:$B,MATCH(F166,'Pricing (Drugs) SS'!$A:$A,0))</f>
        <v>PHENYLEPHRINE HCI INJECTION, USP 10mg/mL 1mL VIAL</v>
      </c>
      <c r="C166" s="50" t="str">
        <f>IF(LEFT(F166,6)="Header","",INDEX('Pricing (Drugs) SS'!$E:$E,MATCH(F166,'Pricing (Drugs) SS'!$A:$A,0)))</f>
        <v>10mg/mL</v>
      </c>
      <c r="D166" s="49" t="str">
        <f>IF(LEFT(F166,6)="header","",INDEX('Pricing (Drugs) SS'!$F:$F,MATCH(F166,'Pricing (Drugs) SS'!$A:$A,0)))</f>
        <v>1mL</v>
      </c>
      <c r="E166" s="51" t="str">
        <f>IF(LEFT(F166,6)="Header","",INDEX('Pricing (Drugs) SS'!$D:$D,MATCH(F166,'Pricing (Drugs) SS'!$A:$A,0)))</f>
        <v>0641-6142-25</v>
      </c>
      <c r="F166" s="119">
        <v>1000520</v>
      </c>
      <c r="G166" s="214" t="str">
        <f>IF(LEFT(F166,6)="Header","",INDEX('Tiered Cart Pricing Formulas'!$N:$N,MATCH(F166,'Tiered Cart Pricing Formulas'!$F:$F,0)))</f>
        <v/>
      </c>
      <c r="H166" s="269"/>
      <c r="I166" s="270"/>
      <c r="J166" s="214" t="str">
        <f>IF(M166="header","",INDEX('Tiered Cart Pricing Formulas'!$N:$N,MATCH(F166,'Tiered Cart Pricing Formulas'!$F:$F,0)))</f>
        <v/>
      </c>
      <c r="K166" s="268" t="str">
        <f>IF(LEFT(F166,6)="header","",INDEX('Tiered Cart Pricing Formulas'!$M:$M,MATCH(F166,'Tiered Cart Pricing Formulas'!$F:$F,0)))</f>
        <v/>
      </c>
      <c r="L166" s="268" cm="1">
        <f t="array" aca="1" ref="L166" ca="1">CELL("protect",A166)</f>
        <v>0</v>
      </c>
      <c r="M166" s="268" t="str">
        <f t="shared" si="4"/>
        <v>100052</v>
      </c>
      <c r="N166" s="268" t="str">
        <f t="shared" ca="1" si="5"/>
        <v>Good</v>
      </c>
      <c r="O166" s="268" t="str">
        <f>IF(M166="header","",INDEX('Tiered Cart Pricing Formulas'!$O:$O,MATCH(F166,'Tiered Cart Pricing Formulas'!$F:$F,0)))</f>
        <v/>
      </c>
    </row>
    <row r="167" spans="1:15" ht="15.75" x14ac:dyDescent="0.25">
      <c r="A167" s="118"/>
      <c r="B167" s="49" t="str">
        <f>INDEX('Pricing (Drugs) SS'!$B:$B,MATCH(F167,'Pricing (Drugs) SS'!$A:$A,0))</f>
        <v>PHENYTOIN/DILANTIN</v>
      </c>
      <c r="C167" s="50" t="str">
        <f>IF(LEFT(F167,6)="Header","",INDEX('Pricing (Drugs) SS'!$E:$E,MATCH(F167,'Pricing (Drugs) SS'!$A:$A,0)))</f>
        <v/>
      </c>
      <c r="D167" s="49" t="str">
        <f>IF(LEFT(F167,6)="header","",INDEX('Pricing (Drugs) SS'!$F:$F,MATCH(F167,'Pricing (Drugs) SS'!$A:$A,0)))</f>
        <v/>
      </c>
      <c r="E167" s="51" t="str">
        <f>IF(LEFT(F167,6)="Header","",INDEX('Pricing (Drugs) SS'!$D:$D,MATCH(F167,'Pricing (Drugs) SS'!$A:$A,0)))</f>
        <v/>
      </c>
      <c r="F167" s="119" t="s">
        <v>1585</v>
      </c>
      <c r="G167" s="214" t="str">
        <f>IF(LEFT(F167,6)="Header","",INDEX('Tiered Cart Pricing Formulas'!$N:$N,MATCH(F167,'Tiered Cart Pricing Formulas'!$F:$F,0)))</f>
        <v/>
      </c>
      <c r="H167" s="51"/>
      <c r="I167" s="272"/>
      <c r="J167" s="214" t="str">
        <f>IF(M167="header","",INDEX('Tiered Cart Pricing Formulas'!$N:$N,MATCH(F167,'Tiered Cart Pricing Formulas'!$F:$F,0)))</f>
        <v/>
      </c>
      <c r="K167" s="268" t="str">
        <f>IF(LEFT(F167,6)="header","",INDEX('Tiered Cart Pricing Formulas'!$M:$M,MATCH(F167,'Tiered Cart Pricing Formulas'!$F:$F,0)))</f>
        <v/>
      </c>
      <c r="L167" s="268" cm="1">
        <f t="array" aca="1" ref="L167" ca="1">CELL("protect",A167)</f>
        <v>1</v>
      </c>
      <c r="M167" s="268" t="str">
        <f t="shared" si="4"/>
        <v>HEADER</v>
      </c>
      <c r="N167" s="268" t="str">
        <f t="shared" ca="1" si="5"/>
        <v>Good</v>
      </c>
      <c r="O167" s="268" t="str">
        <f>IF(M167="header","",INDEX('Tiered Cart Pricing Formulas'!$O:$O,MATCH(F167,'Tiered Cart Pricing Formulas'!$F:$F,0)))</f>
        <v/>
      </c>
    </row>
    <row r="168" spans="1:15" ht="15.75" x14ac:dyDescent="0.25">
      <c r="A168" s="48"/>
      <c r="B168" s="49" t="str">
        <f>INDEX('Pricing (Drugs) SS'!$B:$B,MATCH(F168,'Pricing (Drugs) SS'!$A:$A,0))</f>
        <v>PHENYTOIN SODIUM INJ., USP 100mg/2mL (50mg/mL) VIAL</v>
      </c>
      <c r="C168" s="50" t="str">
        <f>IF(LEFT(F168,6)="Header","",INDEX('Pricing (Drugs) SS'!$E:$E,MATCH(F168,'Pricing (Drugs) SS'!$A:$A,0)))</f>
        <v>50mg/mL</v>
      </c>
      <c r="D168" s="49" t="str">
        <f>IF(LEFT(F168,6)="header","",INDEX('Pricing (Drugs) SS'!$F:$F,MATCH(F168,'Pricing (Drugs) SS'!$A:$A,0)))</f>
        <v>2mL</v>
      </c>
      <c r="E168" s="51" t="str">
        <f>IF(LEFT(F168,6)="Header","",INDEX('Pricing (Drugs) SS'!$D:$D,MATCH(F168,'Pricing (Drugs) SS'!$A:$A,0)))</f>
        <v>0641-0493-25</v>
      </c>
      <c r="F168" s="119">
        <v>1000540</v>
      </c>
      <c r="G168" s="214" t="str">
        <f>IF(LEFT(F168,6)="Header","",INDEX('Tiered Cart Pricing Formulas'!$N:$N,MATCH(F168,'Tiered Cart Pricing Formulas'!$F:$F,0)))</f>
        <v/>
      </c>
      <c r="H168" s="269"/>
      <c r="I168" s="270"/>
      <c r="J168" s="214" t="str">
        <f>IF(M168="header","",INDEX('Tiered Cart Pricing Formulas'!$N:$N,MATCH(F168,'Tiered Cart Pricing Formulas'!$F:$F,0)))</f>
        <v/>
      </c>
      <c r="K168" s="268" t="str">
        <f>IF(LEFT(F168,6)="header","",INDEX('Tiered Cart Pricing Formulas'!$M:$M,MATCH(F168,'Tiered Cart Pricing Formulas'!$F:$F,0)))</f>
        <v/>
      </c>
      <c r="L168" s="268" cm="1">
        <f t="array" aca="1" ref="L168" ca="1">CELL("protect",A168)</f>
        <v>0</v>
      </c>
      <c r="M168" s="268" t="str">
        <f t="shared" si="4"/>
        <v>100054</v>
      </c>
      <c r="N168" s="268" t="str">
        <f t="shared" ca="1" si="5"/>
        <v>Good</v>
      </c>
      <c r="O168" s="268" t="str">
        <f>IF(M168="header","",INDEX('Tiered Cart Pricing Formulas'!$O:$O,MATCH(F168,'Tiered Cart Pricing Formulas'!$F:$F,0)))</f>
        <v/>
      </c>
    </row>
    <row r="169" spans="1:15" ht="15.75" x14ac:dyDescent="0.25">
      <c r="A169" s="48"/>
      <c r="B169" s="49" t="str">
        <f>INDEX('Pricing (Drugs) SS'!$B:$B,MATCH(F169,'Pricing (Drugs) SS'!$A:$A,0))</f>
        <v>POTASSIUM CHLORIDE FOR INJECTION CONCENTRATE, USP 20 mEq/10mL (2 mEq/mL)</v>
      </c>
      <c r="C169" s="50" t="str">
        <f>IF(LEFT(F169,6)="Header","",INDEX('Pricing (Drugs) SS'!$E:$E,MATCH(F169,'Pricing (Drugs) SS'!$A:$A,0)))</f>
        <v>2 mEq/mL</v>
      </c>
      <c r="D169" s="49" t="str">
        <f>IF(LEFT(F169,6)="header","",INDEX('Pricing (Drugs) SS'!$F:$F,MATCH(F169,'Pricing (Drugs) SS'!$A:$A,0)))</f>
        <v>10mL</v>
      </c>
      <c r="E169" s="51" t="str">
        <f>IF(LEFT(F169,6)="Header","",INDEX('Pricing (Drugs) SS'!$D:$D,MATCH(F169,'Pricing (Drugs) SS'!$A:$A,0)))</f>
        <v>0409-6651-06</v>
      </c>
      <c r="F169" s="119">
        <v>1011810</v>
      </c>
      <c r="G169" s="214" t="str">
        <f>IF(LEFT(F169,6)="Header","",INDEX('Tiered Cart Pricing Formulas'!$N:$N,MATCH(F169,'Tiered Cart Pricing Formulas'!$F:$F,0)))</f>
        <v>X</v>
      </c>
      <c r="H169" s="269"/>
      <c r="I169" s="270"/>
      <c r="J169" s="214" t="str">
        <f>IF(M169="header","",INDEX('Tiered Cart Pricing Formulas'!$N:$N,MATCH(F169,'Tiered Cart Pricing Formulas'!$F:$F,0)))</f>
        <v>X</v>
      </c>
      <c r="K169" s="268" t="str">
        <f>IF(LEFT(F169,6)="header","",INDEX('Tiered Cart Pricing Formulas'!$M:$M,MATCH(F169,'Tiered Cart Pricing Formulas'!$F:$F,0)))</f>
        <v/>
      </c>
      <c r="L169" s="268" cm="1">
        <f t="array" aca="1" ref="L169" ca="1">CELL("protect",A169)</f>
        <v>0</v>
      </c>
      <c r="M169" s="268" t="str">
        <f t="shared" si="4"/>
        <v>101181</v>
      </c>
      <c r="N169" s="268" t="str">
        <f t="shared" ca="1" si="5"/>
        <v>Good</v>
      </c>
      <c r="O169" s="268" t="str">
        <f>IF(M169="header","",INDEX('Tiered Cart Pricing Formulas'!$O:$O,MATCH(F169,'Tiered Cart Pricing Formulas'!$F:$F,0)))</f>
        <v/>
      </c>
    </row>
    <row r="170" spans="1:15" ht="15.75" x14ac:dyDescent="0.25">
      <c r="A170" s="118"/>
      <c r="B170" s="49" t="str">
        <f>INDEX('Pricing (Drugs) SS'!$B:$B,MATCH(F170,'Pricing (Drugs) SS'!$A:$A,0))</f>
        <v>PROCAINAMIDE</v>
      </c>
      <c r="C170" s="50" t="str">
        <f>IF(LEFT(F170,6)="Header","",INDEX('Pricing (Drugs) SS'!$E:$E,MATCH(F170,'Pricing (Drugs) SS'!$A:$A,0)))</f>
        <v/>
      </c>
      <c r="D170" s="49" t="str">
        <f>IF(LEFT(F170,6)="header","",INDEX('Pricing (Drugs) SS'!$F:$F,MATCH(F170,'Pricing (Drugs) SS'!$A:$A,0)))</f>
        <v/>
      </c>
      <c r="E170" s="51" t="str">
        <f>IF(LEFT(F170,6)="Header","",INDEX('Pricing (Drugs) SS'!$D:$D,MATCH(F170,'Pricing (Drugs) SS'!$A:$A,0)))</f>
        <v/>
      </c>
      <c r="F170" s="119" t="s">
        <v>1586</v>
      </c>
      <c r="G170" s="214" t="str">
        <f>IF(LEFT(F170,6)="Header","",INDEX('Tiered Cart Pricing Formulas'!$N:$N,MATCH(F170,'Tiered Cart Pricing Formulas'!$F:$F,0)))</f>
        <v/>
      </c>
      <c r="H170" s="51"/>
      <c r="I170" s="272"/>
      <c r="J170" s="214" t="str">
        <f>IF(M170="header","",INDEX('Tiered Cart Pricing Formulas'!$N:$N,MATCH(F170,'Tiered Cart Pricing Formulas'!$F:$F,0)))</f>
        <v/>
      </c>
      <c r="K170" s="268" t="str">
        <f>IF(LEFT(F170,6)="header","",INDEX('Tiered Cart Pricing Formulas'!$M:$M,MATCH(F170,'Tiered Cart Pricing Formulas'!$F:$F,0)))</f>
        <v/>
      </c>
      <c r="L170" s="268" cm="1">
        <f t="array" aca="1" ref="L170" ca="1">CELL("protect",A170)</f>
        <v>1</v>
      </c>
      <c r="M170" s="268" t="str">
        <f t="shared" si="4"/>
        <v>HEADER</v>
      </c>
      <c r="N170" s="268" t="str">
        <f t="shared" ca="1" si="5"/>
        <v>Good</v>
      </c>
      <c r="O170" s="268" t="str">
        <f>IF(M170="header","",INDEX('Tiered Cart Pricing Formulas'!$O:$O,MATCH(F170,'Tiered Cart Pricing Formulas'!$F:$F,0)))</f>
        <v/>
      </c>
    </row>
    <row r="171" spans="1:15" ht="15.75" x14ac:dyDescent="0.25">
      <c r="A171" s="48"/>
      <c r="B171" s="49" t="str">
        <f>INDEX('Pricing (Drugs) SS'!$B:$B,MATCH(F171,'Pricing (Drugs) SS'!$A:$A,0))</f>
        <v>PROCAINAMIDE HYDROCHLORIDE INJ, USP 100mg/mL 10mL SYR</v>
      </c>
      <c r="C171" s="50" t="str">
        <f>IF(LEFT(F171,6)="Header","",INDEX('Pricing (Drugs) SS'!$E:$E,MATCH(F171,'Pricing (Drugs) SS'!$A:$A,0)))</f>
        <v>100mg/mL</v>
      </c>
      <c r="D171" s="49" t="str">
        <f>IF(LEFT(F171,6)="header","",INDEX('Pricing (Drugs) SS'!$F:$F,MATCH(F171,'Pricing (Drugs) SS'!$A:$A,0)))</f>
        <v>10mL</v>
      </c>
      <c r="E171" s="51" t="str">
        <f>IF(LEFT(F171,6)="Header","",INDEX('Pricing (Drugs) SS'!$D:$D,MATCH(F171,'Pricing (Drugs) SS'!$A:$A,0)))</f>
        <v>76329-3399-5</v>
      </c>
      <c r="F171" s="119">
        <v>1024020</v>
      </c>
      <c r="G171" s="214" t="str">
        <f>IF(LEFT(F171,6)="Header","",INDEX('Tiered Cart Pricing Formulas'!$N:$N,MATCH(F171,'Tiered Cart Pricing Formulas'!$F:$F,0)))</f>
        <v/>
      </c>
      <c r="H171" s="269"/>
      <c r="I171" s="270"/>
      <c r="J171" s="214" t="str">
        <f>IF(M171="header","",INDEX('Tiered Cart Pricing Formulas'!$N:$N,MATCH(F171,'Tiered Cart Pricing Formulas'!$F:$F,0)))</f>
        <v/>
      </c>
      <c r="K171" s="268" t="str">
        <f>IF(LEFT(F171,6)="header","",INDEX('Tiered Cart Pricing Formulas'!$M:$M,MATCH(F171,'Tiered Cart Pricing Formulas'!$F:$F,0)))</f>
        <v/>
      </c>
      <c r="L171" s="268" cm="1">
        <f t="array" aca="1" ref="L171" ca="1">CELL("protect",A171)</f>
        <v>0</v>
      </c>
      <c r="M171" s="268" t="str">
        <f t="shared" si="4"/>
        <v>102402</v>
      </c>
      <c r="N171" s="268" t="str">
        <f t="shared" ca="1" si="5"/>
        <v>Good</v>
      </c>
      <c r="O171" s="268" t="str">
        <f>IF(M171="header","",INDEX('Tiered Cart Pricing Formulas'!$O:$O,MATCH(F171,'Tiered Cart Pricing Formulas'!$F:$F,0)))</f>
        <v/>
      </c>
    </row>
    <row r="172" spans="1:15" ht="15.75" x14ac:dyDescent="0.25">
      <c r="A172" s="118"/>
      <c r="B172" s="49" t="str">
        <f>INDEX('Pricing (Drugs) SS'!$B:$B,MATCH(F172,'Pricing (Drugs) SS'!$A:$A,0))</f>
        <v>PROMETHAZINE/PROMETHEGAN/PHENERGAN</v>
      </c>
      <c r="C172" s="50" t="str">
        <f>IF(LEFT(F172,6)="Header","",INDEX('Pricing (Drugs) SS'!$E:$E,MATCH(F172,'Pricing (Drugs) SS'!$A:$A,0)))</f>
        <v/>
      </c>
      <c r="D172" s="49" t="str">
        <f>IF(LEFT(F172,6)="header","",INDEX('Pricing (Drugs) SS'!$F:$F,MATCH(F172,'Pricing (Drugs) SS'!$A:$A,0)))</f>
        <v/>
      </c>
      <c r="E172" s="51" t="str">
        <f>IF(LEFT(F172,6)="Header","",INDEX('Pricing (Drugs) SS'!$D:$D,MATCH(F172,'Pricing (Drugs) SS'!$A:$A,0)))</f>
        <v/>
      </c>
      <c r="F172" s="119" t="s">
        <v>1587</v>
      </c>
      <c r="G172" s="214" t="str">
        <f>IF(LEFT(F172,6)="Header","",INDEX('Tiered Cart Pricing Formulas'!$N:$N,MATCH(F172,'Tiered Cart Pricing Formulas'!$F:$F,0)))</f>
        <v/>
      </c>
      <c r="H172" s="51"/>
      <c r="I172" s="272"/>
      <c r="J172" s="214" t="str">
        <f>IF(M172="header","",INDEX('Tiered Cart Pricing Formulas'!$N:$N,MATCH(F172,'Tiered Cart Pricing Formulas'!$F:$F,0)))</f>
        <v/>
      </c>
      <c r="K172" s="268" t="str">
        <f>IF(LEFT(F172,6)="header","",INDEX('Tiered Cart Pricing Formulas'!$M:$M,MATCH(F172,'Tiered Cart Pricing Formulas'!$F:$F,0)))</f>
        <v/>
      </c>
      <c r="L172" s="268" cm="1">
        <f t="array" aca="1" ref="L172" ca="1">CELL("protect",A172)</f>
        <v>1</v>
      </c>
      <c r="M172" s="268" t="str">
        <f t="shared" si="4"/>
        <v>HEADER</v>
      </c>
      <c r="N172" s="268" t="str">
        <f t="shared" ca="1" si="5"/>
        <v>Good</v>
      </c>
      <c r="O172" s="268" t="str">
        <f>IF(M172="header","",INDEX('Tiered Cart Pricing Formulas'!$O:$O,MATCH(F172,'Tiered Cart Pricing Formulas'!$F:$F,0)))</f>
        <v/>
      </c>
    </row>
    <row r="173" spans="1:15" ht="15.75" x14ac:dyDescent="0.25">
      <c r="A173" s="48"/>
      <c r="B173" s="49" t="str">
        <f>INDEX('Pricing (Drugs) SS'!$B:$B,MATCH(F173,'Pricing (Drugs) SS'!$A:$A,0))</f>
        <v>PROMETHAZINE HCI INJECTION, USP 50mg/mL 1mL AMPULE</v>
      </c>
      <c r="C173" s="50" t="str">
        <f>IF(LEFT(F173,6)="Header","",INDEX('Pricing (Drugs) SS'!$E:$E,MATCH(F173,'Pricing (Drugs) SS'!$A:$A,0)))</f>
        <v>50mg/mL</v>
      </c>
      <c r="D173" s="49" t="str">
        <f>IF(LEFT(F173,6)="header","",INDEX('Pricing (Drugs) SS'!$F:$F,MATCH(F173,'Pricing (Drugs) SS'!$A:$A,0)))</f>
        <v>1mL</v>
      </c>
      <c r="E173" s="51" t="str">
        <f>IF(LEFT(F173,6)="Header","",INDEX('Pricing (Drugs) SS'!$D:$D,MATCH(F173,'Pricing (Drugs) SS'!$A:$A,0)))</f>
        <v>0641-1496-35</v>
      </c>
      <c r="F173" s="119">
        <v>1000510</v>
      </c>
      <c r="G173" s="214" t="str">
        <f>IF(LEFT(F173,6)="Header","",INDEX('Tiered Cart Pricing Formulas'!$N:$N,MATCH(F173,'Tiered Cart Pricing Formulas'!$F:$F,0)))</f>
        <v/>
      </c>
      <c r="H173" s="269"/>
      <c r="I173" s="270"/>
      <c r="J173" s="214" t="str">
        <f>IF(M173="header","",INDEX('Tiered Cart Pricing Formulas'!$N:$N,MATCH(F173,'Tiered Cart Pricing Formulas'!$F:$F,0)))</f>
        <v/>
      </c>
      <c r="K173" s="268" t="str">
        <f>IF(LEFT(F173,6)="header","",INDEX('Tiered Cart Pricing Formulas'!$M:$M,MATCH(F173,'Tiered Cart Pricing Formulas'!$F:$F,0)))</f>
        <v/>
      </c>
      <c r="L173" s="268" cm="1">
        <f t="array" aca="1" ref="L173" ca="1">CELL("protect",A173)</f>
        <v>0</v>
      </c>
      <c r="M173" s="268" t="str">
        <f t="shared" si="4"/>
        <v>100051</v>
      </c>
      <c r="N173" s="268" t="str">
        <f t="shared" ca="1" si="5"/>
        <v>Good</v>
      </c>
      <c r="O173" s="268" t="str">
        <f>IF(M173="header","",INDEX('Tiered Cart Pricing Formulas'!$O:$O,MATCH(F173,'Tiered Cart Pricing Formulas'!$F:$F,0)))</f>
        <v/>
      </c>
    </row>
    <row r="174" spans="1:15" ht="15.75" x14ac:dyDescent="0.25">
      <c r="A174" s="48"/>
      <c r="B174" s="49" t="str">
        <f>INDEX('Pricing (Drugs) SS'!$B:$B,MATCH(F174,'Pricing (Drugs) SS'!$A:$A,0))</f>
        <v>PROMETHAZINE HCI INJECTION, USP 25mg/mL 1mL VIAL</v>
      </c>
      <c r="C174" s="50" t="str">
        <f>IF(LEFT(F174,6)="Header","",INDEX('Pricing (Drugs) SS'!$E:$E,MATCH(F174,'Pricing (Drugs) SS'!$A:$A,0)))</f>
        <v>25mg/mL</v>
      </c>
      <c r="D174" s="49" t="str">
        <f>IF(LEFT(F174,6)="header","",INDEX('Pricing (Drugs) SS'!$F:$F,MATCH(F174,'Pricing (Drugs) SS'!$A:$A,0)))</f>
        <v>1mL</v>
      </c>
      <c r="E174" s="51" t="str">
        <f>IF(LEFT(F174,6)="Header","",INDEX('Pricing (Drugs) SS'!$D:$D,MATCH(F174,'Pricing (Drugs) SS'!$A:$A,0)))</f>
        <v>0641-0928-25</v>
      </c>
      <c r="F174" s="119">
        <v>1000500</v>
      </c>
      <c r="G174" s="214" t="str">
        <f>IF(LEFT(F174,6)="Header","",INDEX('Tiered Cart Pricing Formulas'!$N:$N,MATCH(F174,'Tiered Cart Pricing Formulas'!$F:$F,0)))</f>
        <v/>
      </c>
      <c r="H174" s="269"/>
      <c r="I174" s="270"/>
      <c r="J174" s="214" t="str">
        <f>IF(M174="header","",INDEX('Tiered Cart Pricing Formulas'!$N:$N,MATCH(F174,'Tiered Cart Pricing Formulas'!$F:$F,0)))</f>
        <v/>
      </c>
      <c r="K174" s="268" t="str">
        <f>IF(LEFT(F174,6)="header","",INDEX('Tiered Cart Pricing Formulas'!$M:$M,MATCH(F174,'Tiered Cart Pricing Formulas'!$F:$F,0)))</f>
        <v/>
      </c>
      <c r="L174" s="268" cm="1">
        <f t="array" aca="1" ref="L174" ca="1">CELL("protect",A174)</f>
        <v>0</v>
      </c>
      <c r="M174" s="268" t="str">
        <f t="shared" si="4"/>
        <v>100050</v>
      </c>
      <c r="N174" s="268" t="str">
        <f t="shared" ca="1" si="5"/>
        <v>Good</v>
      </c>
      <c r="O174" s="268" t="str">
        <f>IF(M174="header","",INDEX('Tiered Cart Pricing Formulas'!$O:$O,MATCH(F174,'Tiered Cart Pricing Formulas'!$F:$F,0)))</f>
        <v/>
      </c>
    </row>
    <row r="175" spans="1:15" ht="15.75" x14ac:dyDescent="0.25">
      <c r="A175" s="118"/>
      <c r="B175" s="49" t="str">
        <f>INDEX('Pricing (Drugs) SS'!$B:$B,MATCH(F175,'Pricing (Drugs) SS'!$A:$A,0))</f>
        <v>PROPOFOL/ DIPRIVAN</v>
      </c>
      <c r="C175" s="50" t="str">
        <f>IF(LEFT(F175,6)="Header","",INDEX('Pricing (Drugs) SS'!$E:$E,MATCH(F175,'Pricing (Drugs) SS'!$A:$A,0)))</f>
        <v/>
      </c>
      <c r="D175" s="49" t="str">
        <f>IF(LEFT(F175,6)="header","",INDEX('Pricing (Drugs) SS'!$F:$F,MATCH(F175,'Pricing (Drugs) SS'!$A:$A,0)))</f>
        <v/>
      </c>
      <c r="E175" s="51" t="str">
        <f>IF(LEFT(F175,6)="Header","",INDEX('Pricing (Drugs) SS'!$D:$D,MATCH(F175,'Pricing (Drugs) SS'!$A:$A,0)))</f>
        <v/>
      </c>
      <c r="F175" s="119" t="s">
        <v>1588</v>
      </c>
      <c r="G175" s="214" t="str">
        <f>IF(LEFT(F175,6)="Header","",INDEX('Tiered Cart Pricing Formulas'!$N:$N,MATCH(F175,'Tiered Cart Pricing Formulas'!$F:$F,0)))</f>
        <v/>
      </c>
      <c r="H175" s="51"/>
      <c r="I175" s="272"/>
      <c r="J175" s="214" t="str">
        <f>IF(M175="header","",INDEX('Tiered Cart Pricing Formulas'!$N:$N,MATCH(F175,'Tiered Cart Pricing Formulas'!$F:$F,0)))</f>
        <v/>
      </c>
      <c r="K175" s="268" t="str">
        <f>IF(LEFT(F175,6)="header","",INDEX('Tiered Cart Pricing Formulas'!$M:$M,MATCH(F175,'Tiered Cart Pricing Formulas'!$F:$F,0)))</f>
        <v/>
      </c>
      <c r="L175" s="268" cm="1">
        <f t="array" aca="1" ref="L175" ca="1">CELL("protect",A175)</f>
        <v>1</v>
      </c>
      <c r="M175" s="268" t="str">
        <f t="shared" si="4"/>
        <v>HEADER</v>
      </c>
      <c r="N175" s="268" t="str">
        <f t="shared" ca="1" si="5"/>
        <v>Good</v>
      </c>
      <c r="O175" s="268" t="str">
        <f>IF(M175="header","",INDEX('Tiered Cart Pricing Formulas'!$O:$O,MATCH(F175,'Tiered Cart Pricing Formulas'!$F:$F,0)))</f>
        <v/>
      </c>
    </row>
    <row r="176" spans="1:15" ht="15.75" x14ac:dyDescent="0.25">
      <c r="A176" s="48"/>
      <c r="B176" s="49" t="str">
        <f>INDEX('Pricing (Drugs) SS'!$B:$B,MATCH(F176,'Pricing (Drugs) SS'!$A:$A,0))</f>
        <v>PROPOFOL INJECTABLE EMULSION 500mg/50mL (10mg/mL) 50mL VIAL</v>
      </c>
      <c r="C176" s="50" t="str">
        <f>IF(LEFT(F176,6)="Header","",INDEX('Pricing (Drugs) SS'!$E:$E,MATCH(F176,'Pricing (Drugs) SS'!$A:$A,0)))</f>
        <v>10mg/mL</v>
      </c>
      <c r="D176" s="49" t="str">
        <f>IF(LEFT(F176,6)="header","",INDEX('Pricing (Drugs) SS'!$F:$F,MATCH(F176,'Pricing (Drugs) SS'!$A:$A,0)))</f>
        <v>50mL</v>
      </c>
      <c r="E176" s="51" t="str">
        <f>IF(LEFT(F176,6)="Header","",INDEX('Pricing (Drugs) SS'!$D:$D,MATCH(F176,'Pricing (Drugs) SS'!$A:$A,0)))</f>
        <v>0409-4699-33</v>
      </c>
      <c r="F176" s="119">
        <v>1012910</v>
      </c>
      <c r="G176" s="214" t="str">
        <f>IF(LEFT(F176,6)="Header","",INDEX('Tiered Cart Pricing Formulas'!$N:$N,MATCH(F176,'Tiered Cart Pricing Formulas'!$F:$F,0)))</f>
        <v>X</v>
      </c>
      <c r="H176" s="269"/>
      <c r="I176" s="270"/>
      <c r="J176" s="214" t="str">
        <f>IF(M176="header","",INDEX('Tiered Cart Pricing Formulas'!$N:$N,MATCH(F176,'Tiered Cart Pricing Formulas'!$F:$F,0)))</f>
        <v>X</v>
      </c>
      <c r="K176" s="268" t="str">
        <f>IF(LEFT(F176,6)="header","",INDEX('Tiered Cart Pricing Formulas'!$M:$M,MATCH(F176,'Tiered Cart Pricing Formulas'!$F:$F,0)))</f>
        <v/>
      </c>
      <c r="L176" s="268" cm="1">
        <f t="array" aca="1" ref="L176" ca="1">CELL("protect",A176)</f>
        <v>0</v>
      </c>
      <c r="M176" s="268" t="str">
        <f t="shared" si="4"/>
        <v>101291</v>
      </c>
      <c r="N176" s="268" t="str">
        <f t="shared" ca="1" si="5"/>
        <v>Good</v>
      </c>
      <c r="O176" s="268" t="str">
        <f>IF(M176="header","",INDEX('Tiered Cart Pricing Formulas'!$O:$O,MATCH(F176,'Tiered Cart Pricing Formulas'!$F:$F,0)))</f>
        <v/>
      </c>
    </row>
    <row r="177" spans="1:15" ht="15.75" x14ac:dyDescent="0.25">
      <c r="A177" s="48"/>
      <c r="B177" s="49" t="str">
        <f>INDEX('Pricing (Drugs) SS'!$B:$B,MATCH(F177,'Pricing (Drugs) SS'!$A:$A,0))</f>
        <v>PROPOFOL INJECTABLE EMULSION 1g/100mL (10mg/mL) 100mL VIAL</v>
      </c>
      <c r="C177" s="50" t="str">
        <f>IF(LEFT(F177,6)="Header","",INDEX('Pricing (Drugs) SS'!$E:$E,MATCH(F177,'Pricing (Drugs) SS'!$A:$A,0)))</f>
        <v>10mg/mL</v>
      </c>
      <c r="D177" s="49" t="str">
        <f>IF(LEFT(F177,6)="header","",INDEX('Pricing (Drugs) SS'!$F:$F,MATCH(F177,'Pricing (Drugs) SS'!$A:$A,0)))</f>
        <v>100mL</v>
      </c>
      <c r="E177" s="51" t="str">
        <f>IF(LEFT(F177,6)="Header","",INDEX('Pricing (Drugs) SS'!$D:$D,MATCH(F177,'Pricing (Drugs) SS'!$A:$A,0)))</f>
        <v>0409-4699-24</v>
      </c>
      <c r="F177" s="119">
        <v>1012900</v>
      </c>
      <c r="G177" s="214" t="str">
        <f>IF(LEFT(F177,6)="Header","",INDEX('Tiered Cart Pricing Formulas'!$N:$N,MATCH(F177,'Tiered Cart Pricing Formulas'!$F:$F,0)))</f>
        <v>X</v>
      </c>
      <c r="H177" s="269"/>
      <c r="I177" s="270"/>
      <c r="J177" s="214" t="str">
        <f>IF(M177="header","",INDEX('Tiered Cart Pricing Formulas'!$N:$N,MATCH(F177,'Tiered Cart Pricing Formulas'!$F:$F,0)))</f>
        <v>X</v>
      </c>
      <c r="K177" s="268" t="str">
        <f>IF(LEFT(F177,6)="header","",INDEX('Tiered Cart Pricing Formulas'!$M:$M,MATCH(F177,'Tiered Cart Pricing Formulas'!$F:$F,0)))</f>
        <v/>
      </c>
      <c r="L177" s="268" cm="1">
        <f t="array" aca="1" ref="L177" ca="1">CELL("protect",A177)</f>
        <v>0</v>
      </c>
      <c r="M177" s="268" t="str">
        <f t="shared" si="4"/>
        <v>101290</v>
      </c>
      <c r="N177" s="268" t="str">
        <f t="shared" ca="1" si="5"/>
        <v>Good</v>
      </c>
      <c r="O177" s="268" t="str">
        <f>IF(M177="header","",INDEX('Tiered Cart Pricing Formulas'!$O:$O,MATCH(F177,'Tiered Cart Pricing Formulas'!$F:$F,0)))</f>
        <v/>
      </c>
    </row>
    <row r="178" spans="1:15" ht="15.75" x14ac:dyDescent="0.25">
      <c r="A178" s="118"/>
      <c r="B178" s="49" t="str">
        <f>INDEX('Pricing (Drugs) SS'!$B:$B,MATCH(F178,'Pricing (Drugs) SS'!$A:$A,0))</f>
        <v>SODIUM BICARBONATE</v>
      </c>
      <c r="C178" s="50" t="str">
        <f>IF(LEFT(F178,6)="Header","",INDEX('Pricing (Drugs) SS'!$E:$E,MATCH(F178,'Pricing (Drugs) SS'!$A:$A,0)))</f>
        <v/>
      </c>
      <c r="D178" s="49" t="str">
        <f>IF(LEFT(F178,6)="header","",INDEX('Pricing (Drugs) SS'!$F:$F,MATCH(F178,'Pricing (Drugs) SS'!$A:$A,0)))</f>
        <v/>
      </c>
      <c r="E178" s="51" t="str">
        <f>IF(LEFT(F178,6)="Header","",INDEX('Pricing (Drugs) SS'!$D:$D,MATCH(F178,'Pricing (Drugs) SS'!$A:$A,0)))</f>
        <v/>
      </c>
      <c r="F178" s="119" t="s">
        <v>1589</v>
      </c>
      <c r="G178" s="214" t="str">
        <f>IF(LEFT(F178,6)="Header","",INDEX('Tiered Cart Pricing Formulas'!$N:$N,MATCH(F178,'Tiered Cart Pricing Formulas'!$F:$F,0)))</f>
        <v/>
      </c>
      <c r="H178" s="51"/>
      <c r="I178" s="272"/>
      <c r="J178" s="214" t="str">
        <f>IF(M178="header","",INDEX('Tiered Cart Pricing Formulas'!$N:$N,MATCH(F178,'Tiered Cart Pricing Formulas'!$F:$F,0)))</f>
        <v/>
      </c>
      <c r="K178" s="268" t="str">
        <f>IF(LEFT(F178,6)="header","",INDEX('Tiered Cart Pricing Formulas'!$M:$M,MATCH(F178,'Tiered Cart Pricing Formulas'!$F:$F,0)))</f>
        <v/>
      </c>
      <c r="L178" s="268" cm="1">
        <f t="array" aca="1" ref="L178" ca="1">CELL("protect",A178)</f>
        <v>1</v>
      </c>
      <c r="M178" s="268" t="str">
        <f t="shared" si="4"/>
        <v>HEADER</v>
      </c>
      <c r="N178" s="268" t="str">
        <f t="shared" ca="1" si="5"/>
        <v>Good</v>
      </c>
      <c r="O178" s="268" t="str">
        <f>IF(M178="header","",INDEX('Tiered Cart Pricing Formulas'!$O:$O,MATCH(F178,'Tiered Cart Pricing Formulas'!$F:$F,0)))</f>
        <v/>
      </c>
    </row>
    <row r="179" spans="1:15" ht="15.75" x14ac:dyDescent="0.25">
      <c r="A179" s="48"/>
      <c r="B179" s="49" t="str">
        <f>INDEX('Pricing (Drugs) SS'!$B:$B,MATCH(F179,'Pricing (Drugs) SS'!$A:$A,0))</f>
        <v>SODIUM BICARBONATE INJECTION USP, 8.4% 50mEq/50mL (1mEq/mL) 50mL VIAL</v>
      </c>
      <c r="C179" s="50" t="str">
        <f>IF(LEFT(F179,6)="Header","",INDEX('Pricing (Drugs) SS'!$E:$E,MATCH(F179,'Pricing (Drugs) SS'!$A:$A,0)))</f>
        <v>1mEq/mL</v>
      </c>
      <c r="D179" s="49" t="str">
        <f>IF(LEFT(F179,6)="header","",INDEX('Pricing (Drugs) SS'!$F:$F,MATCH(F179,'Pricing (Drugs) SS'!$A:$A,0)))</f>
        <v>50mL</v>
      </c>
      <c r="E179" s="51" t="str">
        <f>IF(LEFT(F179,6)="Header","",INDEX('Pricing (Drugs) SS'!$D:$D,MATCH(F179,'Pricing (Drugs) SS'!$A:$A,0)))</f>
        <v>0409-6625-14</v>
      </c>
      <c r="F179" s="119">
        <v>1000590</v>
      </c>
      <c r="G179" s="214" t="str">
        <f>IF(LEFT(F179,6)="Header","",INDEX('Tiered Cart Pricing Formulas'!$N:$N,MATCH(F179,'Tiered Cart Pricing Formulas'!$F:$F,0)))</f>
        <v/>
      </c>
      <c r="H179" s="269"/>
      <c r="I179" s="270"/>
      <c r="J179" s="214" t="str">
        <f>IF(M179="header","",INDEX('Tiered Cart Pricing Formulas'!$N:$N,MATCH(F179,'Tiered Cart Pricing Formulas'!$F:$F,0)))</f>
        <v/>
      </c>
      <c r="K179" s="268" t="str">
        <f>IF(LEFT(F179,6)="header","",INDEX('Tiered Cart Pricing Formulas'!$M:$M,MATCH(F179,'Tiered Cart Pricing Formulas'!$F:$F,0)))</f>
        <v/>
      </c>
      <c r="L179" s="268" cm="1">
        <f t="array" aca="1" ref="L179" ca="1">CELL("protect",A179)</f>
        <v>0</v>
      </c>
      <c r="M179" s="268" t="str">
        <f t="shared" si="4"/>
        <v>100059</v>
      </c>
      <c r="N179" s="268" t="str">
        <f t="shared" ca="1" si="5"/>
        <v>Good</v>
      </c>
      <c r="O179" s="268" t="str">
        <f>IF(M179="header","",INDEX('Tiered Cart Pricing Formulas'!$O:$O,MATCH(F179,'Tiered Cart Pricing Formulas'!$F:$F,0)))</f>
        <v/>
      </c>
    </row>
    <row r="180" spans="1:15" ht="15.75" x14ac:dyDescent="0.25">
      <c r="A180" s="48"/>
      <c r="B180" s="49" t="str">
        <f>INDEX('Pricing (Drugs) SS'!$B:$B,MATCH(F180,'Pricing (Drugs) SS'!$A:$A,0))</f>
        <v>4.2% SODIUM BICARBONATE INJECTION, USP 5mEq/10mL (0.5 mEq/mL) 10mL SYR</v>
      </c>
      <c r="C180" s="50" t="str">
        <f>IF(LEFT(F180,6)="Header","",INDEX('Pricing (Drugs) SS'!$E:$E,MATCH(F180,'Pricing (Drugs) SS'!$A:$A,0)))</f>
        <v>0.5 mEq/mL</v>
      </c>
      <c r="D180" s="49" t="str">
        <f>IF(LEFT(F180,6)="header","",INDEX('Pricing (Drugs) SS'!$F:$F,MATCH(F180,'Pricing (Drugs) SS'!$A:$A,0)))</f>
        <v>10mL</v>
      </c>
      <c r="E180" s="51" t="str">
        <f>IF(LEFT(F180,6)="Header","",INDEX('Pricing (Drugs) SS'!$D:$D,MATCH(F180,'Pricing (Drugs) SS'!$A:$A,0)))</f>
        <v>0409-5534-14</v>
      </c>
      <c r="F180" s="119">
        <v>1009340</v>
      </c>
      <c r="G180" s="214" t="str">
        <f>IF(LEFT(F180,6)="Header","",INDEX('Tiered Cart Pricing Formulas'!$N:$N,MATCH(F180,'Tiered Cart Pricing Formulas'!$F:$F,0)))</f>
        <v/>
      </c>
      <c r="H180" s="269"/>
      <c r="I180" s="270"/>
      <c r="J180" s="214" t="str">
        <f>IF(M180="header","",INDEX('Tiered Cart Pricing Formulas'!$N:$N,MATCH(F180,'Tiered Cart Pricing Formulas'!$F:$F,0)))</f>
        <v/>
      </c>
      <c r="K180" s="268" t="str">
        <f>IF(LEFT(F180,6)="header","",INDEX('Tiered Cart Pricing Formulas'!$M:$M,MATCH(F180,'Tiered Cart Pricing Formulas'!$F:$F,0)))</f>
        <v/>
      </c>
      <c r="L180" s="268" cm="1">
        <f t="array" aca="1" ref="L180" ca="1">CELL("protect",A180)</f>
        <v>0</v>
      </c>
      <c r="M180" s="268" t="str">
        <f t="shared" si="4"/>
        <v>100934</v>
      </c>
      <c r="N180" s="268" t="str">
        <f t="shared" ca="1" si="5"/>
        <v>Good</v>
      </c>
      <c r="O180" s="268" t="str">
        <f>IF(M180="header","",INDEX('Tiered Cart Pricing Formulas'!$O:$O,MATCH(F180,'Tiered Cart Pricing Formulas'!$F:$F,0)))</f>
        <v/>
      </c>
    </row>
    <row r="181" spans="1:15" ht="15.75" x14ac:dyDescent="0.25">
      <c r="A181" s="48"/>
      <c r="B181" s="49" t="str">
        <f>INDEX('Pricing (Drugs) SS'!$B:$B,MATCH(F181,'Pricing (Drugs) SS'!$A:$A,0))</f>
        <v>SODIUM BICARBONATE INJECTION USP, 8.4% 50 mEq/50 mL (1 mEq/mL) LUER-JET™ SYR</v>
      </c>
      <c r="C181" s="50" t="str">
        <f>IF(LEFT(F181,6)="Header","",INDEX('Pricing (Drugs) SS'!$E:$E,MATCH(F181,'Pricing (Drugs) SS'!$A:$A,0)))</f>
        <v>84mg/1mL</v>
      </c>
      <c r="D181" s="49" t="str">
        <f>IF(LEFT(F181,6)="header","",INDEX('Pricing (Drugs) SS'!$F:$F,MATCH(F181,'Pricing (Drugs) SS'!$A:$A,0)))</f>
        <v>50 mL</v>
      </c>
      <c r="E181" s="51" t="str">
        <f>IF(LEFT(F181,6)="Header","",INDEX('Pricing (Drugs) SS'!$D:$D,MATCH(F181,'Pricing (Drugs) SS'!$A:$A,0)))</f>
        <v>76329-3352-1</v>
      </c>
      <c r="F181" s="119">
        <v>1012410</v>
      </c>
      <c r="G181" s="214" t="str">
        <f>IF(LEFT(F181,6)="Header","",INDEX('Tiered Cart Pricing Formulas'!$N:$N,MATCH(F181,'Tiered Cart Pricing Formulas'!$F:$F,0)))</f>
        <v/>
      </c>
      <c r="H181" s="269"/>
      <c r="I181" s="270"/>
      <c r="J181" s="214" t="str">
        <f>IF(M181="header","",INDEX('Tiered Cart Pricing Formulas'!$N:$N,MATCH(F181,'Tiered Cart Pricing Formulas'!$F:$F,0)))</f>
        <v/>
      </c>
      <c r="K181" s="268" t="str">
        <f>IF(LEFT(F181,6)="header","",INDEX('Tiered Cart Pricing Formulas'!$M:$M,MATCH(F181,'Tiered Cart Pricing Formulas'!$F:$F,0)))</f>
        <v/>
      </c>
      <c r="L181" s="268" cm="1">
        <f t="array" aca="1" ref="L181" ca="1">CELL("protect",A181)</f>
        <v>0</v>
      </c>
      <c r="M181" s="268" t="str">
        <f t="shared" si="4"/>
        <v>101241</v>
      </c>
      <c r="N181" s="268" t="str">
        <f t="shared" ca="1" si="5"/>
        <v>Good</v>
      </c>
      <c r="O181" s="268" t="str">
        <f>IF(M181="header","",INDEX('Tiered Cart Pricing Formulas'!$O:$O,MATCH(F181,'Tiered Cart Pricing Formulas'!$F:$F,0)))</f>
        <v/>
      </c>
    </row>
    <row r="182" spans="1:15" ht="15.75" x14ac:dyDescent="0.25">
      <c r="A182" s="118"/>
      <c r="B182" s="49" t="str">
        <f>INDEX('Pricing (Drugs) SS'!$B:$B,MATCH(F182,'Pricing (Drugs) SS'!$A:$A,0))</f>
        <v>SODIUM CHLORIDE</v>
      </c>
      <c r="C182" s="50" t="str">
        <f>IF(LEFT(F182,6)="Header","",INDEX('Pricing (Drugs) SS'!$E:$E,MATCH(F182,'Pricing (Drugs) SS'!$A:$A,0)))</f>
        <v/>
      </c>
      <c r="D182" s="49" t="str">
        <f>IF(LEFT(F182,6)="header","",INDEX('Pricing (Drugs) SS'!$F:$F,MATCH(F182,'Pricing (Drugs) SS'!$A:$A,0)))</f>
        <v/>
      </c>
      <c r="E182" s="51" t="str">
        <f>IF(LEFT(F182,6)="Header","",INDEX('Pricing (Drugs) SS'!$D:$D,MATCH(F182,'Pricing (Drugs) SS'!$A:$A,0)))</f>
        <v/>
      </c>
      <c r="F182" s="119" t="s">
        <v>1590</v>
      </c>
      <c r="G182" s="214" t="str">
        <f>IF(LEFT(F182,6)="Header","",INDEX('Tiered Cart Pricing Formulas'!$N:$N,MATCH(F182,'Tiered Cart Pricing Formulas'!$F:$F,0)))</f>
        <v/>
      </c>
      <c r="H182" s="51"/>
      <c r="I182" s="272"/>
      <c r="J182" s="214" t="str">
        <f>IF(M182="header","",INDEX('Tiered Cart Pricing Formulas'!$N:$N,MATCH(F182,'Tiered Cart Pricing Formulas'!$F:$F,0)))</f>
        <v/>
      </c>
      <c r="K182" s="268" t="str">
        <f>IF(LEFT(F182,6)="header","",INDEX('Tiered Cart Pricing Formulas'!$M:$M,MATCH(F182,'Tiered Cart Pricing Formulas'!$F:$F,0)))</f>
        <v/>
      </c>
      <c r="L182" s="268" cm="1">
        <f t="array" aca="1" ref="L182" ca="1">CELL("protect",A182)</f>
        <v>1</v>
      </c>
      <c r="M182" s="268" t="str">
        <f t="shared" si="4"/>
        <v>HEADER</v>
      </c>
      <c r="N182" s="268" t="str">
        <f t="shared" ca="1" si="5"/>
        <v>Good</v>
      </c>
      <c r="O182" s="268" t="str">
        <f>IF(M182="header","",INDEX('Tiered Cart Pricing Formulas'!$O:$O,MATCH(F182,'Tiered Cart Pricing Formulas'!$F:$F,0)))</f>
        <v/>
      </c>
    </row>
    <row r="183" spans="1:15" ht="15.75" x14ac:dyDescent="0.25">
      <c r="A183" s="48"/>
      <c r="B183" s="49" t="str">
        <f>INDEX('Pricing (Drugs) SS'!$B:$B,MATCH(F183,'Pricing (Drugs) SS'!$A:$A,0))</f>
        <v>0.9% SODIUM CHLORIDE INJECTION USP ZR(TM) 10mL SYR</v>
      </c>
      <c r="C183" s="50">
        <f>IF(LEFT(F183,6)="Header","",INDEX('Pricing (Drugs) SS'!$E:$E,MATCH(F183,'Pricing (Drugs) SS'!$A:$A,0)))</f>
        <v>8.9999999999999993E-3</v>
      </c>
      <c r="D183" s="49" t="str">
        <f>IF(LEFT(F183,6)="header","",INDEX('Pricing (Drugs) SS'!$F:$F,MATCH(F183,'Pricing (Drugs) SS'!$A:$A,0)))</f>
        <v>10mL</v>
      </c>
      <c r="E183" s="51" t="str">
        <f>IF(LEFT(F183,6)="Header","",INDEX('Pricing (Drugs) SS'!$D:$D,MATCH(F183,'Pricing (Drugs) SS'!$A:$A,0)))</f>
        <v>63807-0100-10</v>
      </c>
      <c r="F183" s="119">
        <v>1009330</v>
      </c>
      <c r="G183" s="214" t="str">
        <f>IF(LEFT(F183,6)="Header","",INDEX('Tiered Cart Pricing Formulas'!$N:$N,MATCH(F183,'Tiered Cart Pricing Formulas'!$F:$F,0)))</f>
        <v/>
      </c>
      <c r="H183" s="269"/>
      <c r="I183" s="270"/>
      <c r="J183" s="214" t="str">
        <f>IF(M183="header","",INDEX('Tiered Cart Pricing Formulas'!$N:$N,MATCH(F183,'Tiered Cart Pricing Formulas'!$F:$F,0)))</f>
        <v/>
      </c>
      <c r="K183" s="268" t="str">
        <f>IF(LEFT(F183,6)="header","",INDEX('Tiered Cart Pricing Formulas'!$M:$M,MATCH(F183,'Tiered Cart Pricing Formulas'!$F:$F,0)))</f>
        <v/>
      </c>
      <c r="L183" s="268" cm="1">
        <f t="array" aca="1" ref="L183" ca="1">CELL("protect",A183)</f>
        <v>0</v>
      </c>
      <c r="M183" s="268" t="str">
        <f t="shared" si="4"/>
        <v>100933</v>
      </c>
      <c r="N183" s="268" t="str">
        <f t="shared" ca="1" si="5"/>
        <v>Good</v>
      </c>
      <c r="O183" s="268" t="str">
        <f>IF(M183="header","",INDEX('Tiered Cart Pricing Formulas'!$O:$O,MATCH(F183,'Tiered Cart Pricing Formulas'!$F:$F,0)))</f>
        <v/>
      </c>
    </row>
    <row r="184" spans="1:15" ht="15.75" x14ac:dyDescent="0.25">
      <c r="A184" s="48"/>
      <c r="B184" s="49" t="str">
        <f>INDEX('Pricing (Drugs) SS'!$B:$B,MATCH(F184,'Pricing (Drugs) SS'!$A:$A,0))</f>
        <v>0.9% SODIUM CHLORIDE INJECTION, USP 100mL BAG</v>
      </c>
      <c r="C184" s="50" t="str">
        <f>IF(LEFT(F184,6)="Header","",INDEX('Pricing (Drugs) SS'!$E:$E,MATCH(F184,'Pricing (Drugs) SS'!$A:$A,0)))</f>
        <v>0.9% PER 100mL</v>
      </c>
      <c r="D184" s="49" t="str">
        <f>IF(LEFT(F184,6)="header","",INDEX('Pricing (Drugs) SS'!$F:$F,MATCH(F184,'Pricing (Drugs) SS'!$A:$A,0)))</f>
        <v>100mL</v>
      </c>
      <c r="E184" s="51" t="str">
        <f>IF(LEFT(F184,6)="Header","",INDEX('Pricing (Drugs) SS'!$D:$D,MATCH(F184,'Pricing (Drugs) SS'!$A:$A,0)))</f>
        <v>0990-7984-23</v>
      </c>
      <c r="F184" s="119">
        <v>1014200</v>
      </c>
      <c r="G184" s="214" t="str">
        <f>IF(LEFT(F184,6)="Header","",INDEX('Tiered Cart Pricing Formulas'!$N:$N,MATCH(F184,'Tiered Cart Pricing Formulas'!$F:$F,0)))</f>
        <v/>
      </c>
      <c r="H184" s="269"/>
      <c r="I184" s="270"/>
      <c r="J184" s="214" t="str">
        <f>IF(M184="header","",INDEX('Tiered Cart Pricing Formulas'!$N:$N,MATCH(F184,'Tiered Cart Pricing Formulas'!$F:$F,0)))</f>
        <v/>
      </c>
      <c r="K184" s="268" t="str">
        <f>IF(LEFT(F184,6)="header","",INDEX('Tiered Cart Pricing Formulas'!$M:$M,MATCH(F184,'Tiered Cart Pricing Formulas'!$F:$F,0)))</f>
        <v/>
      </c>
      <c r="L184" s="268" cm="1">
        <f t="array" aca="1" ref="L184" ca="1">CELL("protect",A184)</f>
        <v>0</v>
      </c>
      <c r="M184" s="268" t="str">
        <f t="shared" si="4"/>
        <v>101420</v>
      </c>
      <c r="N184" s="268" t="str">
        <f t="shared" ca="1" si="5"/>
        <v>Good</v>
      </c>
      <c r="O184" s="268" t="str">
        <f>IF(M184="header","",INDEX('Tiered Cart Pricing Formulas'!$O:$O,MATCH(F184,'Tiered Cart Pricing Formulas'!$F:$F,0)))</f>
        <v/>
      </c>
    </row>
    <row r="185" spans="1:15" ht="15.75" x14ac:dyDescent="0.25">
      <c r="A185" s="48"/>
      <c r="B185" s="49" t="str">
        <f>INDEX('Pricing (Drugs) SS'!$B:$B,MATCH(F185,'Pricing (Drugs) SS'!$A:$A,0))</f>
        <v>0.9% SODIUM CHLORIDE INJECTION, USP 250mL BAG</v>
      </c>
      <c r="C185" s="50">
        <f>IF(LEFT(F185,6)="Header","",INDEX('Pricing (Drugs) SS'!$E:$E,MATCH(F185,'Pricing (Drugs) SS'!$A:$A,0)))</f>
        <v>8.9999999999999993E-3</v>
      </c>
      <c r="D185" s="49" t="str">
        <f>IF(LEFT(F185,6)="header","",INDEX('Pricing (Drugs) SS'!$F:$F,MATCH(F185,'Pricing (Drugs) SS'!$A:$A,0)))</f>
        <v>250mL</v>
      </c>
      <c r="E185" s="51" t="str">
        <f>IF(LEFT(F185,6)="Header","",INDEX('Pricing (Drugs) SS'!$D:$D,MATCH(F185,'Pricing (Drugs) SS'!$A:$A,0)))</f>
        <v>0990-7983-02</v>
      </c>
      <c r="F185" s="119">
        <v>1013880</v>
      </c>
      <c r="G185" s="214" t="str">
        <f>IF(LEFT(F185,6)="Header","",INDEX('Tiered Cart Pricing Formulas'!$N:$N,MATCH(F185,'Tiered Cart Pricing Formulas'!$F:$F,0)))</f>
        <v/>
      </c>
      <c r="H185" s="269"/>
      <c r="I185" s="270"/>
      <c r="J185" s="214" t="str">
        <f>IF(M185="header","",INDEX('Tiered Cart Pricing Formulas'!$N:$N,MATCH(F185,'Tiered Cart Pricing Formulas'!$F:$F,0)))</f>
        <v/>
      </c>
      <c r="K185" s="268" t="str">
        <f>IF(LEFT(F185,6)="header","",INDEX('Tiered Cart Pricing Formulas'!$M:$M,MATCH(F185,'Tiered Cart Pricing Formulas'!$F:$F,0)))</f>
        <v/>
      </c>
      <c r="L185" s="268" cm="1">
        <f t="array" aca="1" ref="L185" ca="1">CELL("protect",A185)</f>
        <v>0</v>
      </c>
      <c r="M185" s="268" t="str">
        <f t="shared" si="4"/>
        <v>101388</v>
      </c>
      <c r="N185" s="268" t="str">
        <f t="shared" ca="1" si="5"/>
        <v>Good</v>
      </c>
      <c r="O185" s="268" t="str">
        <f>IF(M185="header","",INDEX('Tiered Cart Pricing Formulas'!$O:$O,MATCH(F185,'Tiered Cart Pricing Formulas'!$F:$F,0)))</f>
        <v/>
      </c>
    </row>
    <row r="186" spans="1:15" ht="15.75" x14ac:dyDescent="0.25">
      <c r="A186" s="48"/>
      <c r="B186" s="49" t="str">
        <f>INDEX('Pricing (Drugs) SS'!$B:$B,MATCH(F186,'Pricing (Drugs) SS'!$A:$A,0))</f>
        <v>0.9% SODIUM CHLORIDE INJECTION, USP 500mL BAG</v>
      </c>
      <c r="C186" s="50" t="str">
        <f>IF(LEFT(F186,6)="Header","",INDEX('Pricing (Drugs) SS'!$E:$E,MATCH(F186,'Pricing (Drugs) SS'!$A:$A,0)))</f>
        <v>0.9% 500mL</v>
      </c>
      <c r="D186" s="49" t="str">
        <f>IF(LEFT(F186,6)="header","",INDEX('Pricing (Drugs) SS'!$F:$F,MATCH(F186,'Pricing (Drugs) SS'!$A:$A,0)))</f>
        <v>500mL</v>
      </c>
      <c r="E186" s="51" t="str">
        <f>IF(LEFT(F186,6)="Header","",INDEX('Pricing (Drugs) SS'!$D:$D,MATCH(F186,'Pricing (Drugs) SS'!$A:$A,0)))</f>
        <v>0990-7983-55</v>
      </c>
      <c r="F186" s="119">
        <v>1014510</v>
      </c>
      <c r="G186" s="214" t="str">
        <f>IF(LEFT(F186,6)="Header","",INDEX('Tiered Cart Pricing Formulas'!$N:$N,MATCH(F186,'Tiered Cart Pricing Formulas'!$F:$F,0)))</f>
        <v/>
      </c>
      <c r="H186" s="269"/>
      <c r="I186" s="270"/>
      <c r="J186" s="214" t="str">
        <f>IF(M186="header","",INDEX('Tiered Cart Pricing Formulas'!$N:$N,MATCH(F186,'Tiered Cart Pricing Formulas'!$F:$F,0)))</f>
        <v/>
      </c>
      <c r="K186" s="268" t="str">
        <f>IF(LEFT(F186,6)="header","",INDEX('Tiered Cart Pricing Formulas'!$M:$M,MATCH(F186,'Tiered Cart Pricing Formulas'!$F:$F,0)))</f>
        <v/>
      </c>
      <c r="L186" s="268" cm="1">
        <f t="array" aca="1" ref="L186" ca="1">CELL("protect",A186)</f>
        <v>0</v>
      </c>
      <c r="M186" s="268" t="str">
        <f t="shared" si="4"/>
        <v>101451</v>
      </c>
      <c r="N186" s="268" t="str">
        <f t="shared" ca="1" si="5"/>
        <v>Good</v>
      </c>
      <c r="O186" s="268" t="str">
        <f>IF(M186="header","",INDEX('Tiered Cart Pricing Formulas'!$O:$O,MATCH(F186,'Tiered Cart Pricing Formulas'!$F:$F,0)))</f>
        <v/>
      </c>
    </row>
    <row r="187" spans="1:15" ht="15.75" x14ac:dyDescent="0.25">
      <c r="A187" s="48"/>
      <c r="B187" s="49" t="str">
        <f>INDEX('Pricing (Drugs) SS'!$B:$B,MATCH(F187,'Pricing (Drugs) SS'!$A:$A,0))</f>
        <v>0.9% SODIUM CHLORIDE INJECTION, USP 1000mL BAG</v>
      </c>
      <c r="C187" s="50">
        <f>IF(LEFT(F187,6)="Header","",INDEX('Pricing (Drugs) SS'!$E:$E,MATCH(F187,'Pricing (Drugs) SS'!$A:$A,0)))</f>
        <v>8.9999999999999993E-3</v>
      </c>
      <c r="D187" s="49" t="str">
        <f>IF(LEFT(F187,6)="header","",INDEX('Pricing (Drugs) SS'!$F:$F,MATCH(F187,'Pricing (Drugs) SS'!$A:$A,0)))</f>
        <v>1000mL</v>
      </c>
      <c r="E187" s="51" t="str">
        <f>IF(LEFT(F187,6)="Header","",INDEX('Pricing (Drugs) SS'!$D:$D,MATCH(F187,'Pricing (Drugs) SS'!$A:$A,0)))</f>
        <v>0990-7983-09</v>
      </c>
      <c r="F187" s="119">
        <v>1013890</v>
      </c>
      <c r="G187" s="214" t="str">
        <f>IF(LEFT(F187,6)="Header","",INDEX('Tiered Cart Pricing Formulas'!$N:$N,MATCH(F187,'Tiered Cart Pricing Formulas'!$F:$F,0)))</f>
        <v/>
      </c>
      <c r="H187" s="269"/>
      <c r="I187" s="270"/>
      <c r="J187" s="214" t="str">
        <f>IF(M187="header","",INDEX('Tiered Cart Pricing Formulas'!$N:$N,MATCH(F187,'Tiered Cart Pricing Formulas'!$F:$F,0)))</f>
        <v/>
      </c>
      <c r="K187" s="268" t="str">
        <f>IF(LEFT(F187,6)="header","",INDEX('Tiered Cart Pricing Formulas'!$M:$M,MATCH(F187,'Tiered Cart Pricing Formulas'!$F:$F,0)))</f>
        <v/>
      </c>
      <c r="L187" s="268" cm="1">
        <f t="array" aca="1" ref="L187" ca="1">CELL("protect",A187)</f>
        <v>0</v>
      </c>
      <c r="M187" s="268" t="str">
        <f t="shared" si="4"/>
        <v>101389</v>
      </c>
      <c r="N187" s="268" t="str">
        <f t="shared" ca="1" si="5"/>
        <v>Good</v>
      </c>
      <c r="O187" s="268" t="str">
        <f>IF(M187="header","",INDEX('Tiered Cart Pricing Formulas'!$O:$O,MATCH(F187,'Tiered Cart Pricing Formulas'!$F:$F,0)))</f>
        <v/>
      </c>
    </row>
    <row r="188" spans="1:15" ht="15.75" x14ac:dyDescent="0.25">
      <c r="A188" s="118"/>
      <c r="B188" s="49" t="str">
        <f>INDEX('Pricing (Drugs) SS'!$B:$B,MATCH(F188,'Pricing (Drugs) SS'!$A:$A,0))</f>
        <v>SUCCINYLCHOLINE/RECURONIUM/VECURONIUM</v>
      </c>
      <c r="C188" s="50" t="str">
        <f>IF(LEFT(F188,6)="Header","",INDEX('Pricing (Drugs) SS'!$E:$E,MATCH(F188,'Pricing (Drugs) SS'!$A:$A,0)))</f>
        <v/>
      </c>
      <c r="D188" s="49" t="str">
        <f>IF(LEFT(F188,6)="header","",INDEX('Pricing (Drugs) SS'!$F:$F,MATCH(F188,'Pricing (Drugs) SS'!$A:$A,0)))</f>
        <v/>
      </c>
      <c r="E188" s="51" t="str">
        <f>IF(LEFT(F188,6)="Header","",INDEX('Pricing (Drugs) SS'!$D:$D,MATCH(F188,'Pricing (Drugs) SS'!$A:$A,0)))</f>
        <v/>
      </c>
      <c r="F188" s="119" t="s">
        <v>1591</v>
      </c>
      <c r="G188" s="214" t="str">
        <f>IF(LEFT(F188,6)="Header","",INDEX('Tiered Cart Pricing Formulas'!$N:$N,MATCH(F188,'Tiered Cart Pricing Formulas'!$F:$F,0)))</f>
        <v/>
      </c>
      <c r="H188" s="51"/>
      <c r="I188" s="272"/>
      <c r="J188" s="214" t="str">
        <f>IF(M188="header","",INDEX('Tiered Cart Pricing Formulas'!$N:$N,MATCH(F188,'Tiered Cart Pricing Formulas'!$F:$F,0)))</f>
        <v/>
      </c>
      <c r="K188" s="268" t="str">
        <f>IF(LEFT(F188,6)="header","",INDEX('Tiered Cart Pricing Formulas'!$M:$M,MATCH(F188,'Tiered Cart Pricing Formulas'!$F:$F,0)))</f>
        <v/>
      </c>
      <c r="L188" s="268" cm="1">
        <f t="array" aca="1" ref="L188" ca="1">CELL("protect",A188)</f>
        <v>1</v>
      </c>
      <c r="M188" s="268" t="str">
        <f t="shared" si="4"/>
        <v>HEADER</v>
      </c>
      <c r="N188" s="268" t="str">
        <f t="shared" ca="1" si="5"/>
        <v>Good</v>
      </c>
      <c r="O188" s="268" t="str">
        <f>IF(M188="header","",INDEX('Tiered Cart Pricing Formulas'!$O:$O,MATCH(F188,'Tiered Cart Pricing Formulas'!$F:$F,0)))</f>
        <v/>
      </c>
    </row>
    <row r="189" spans="1:15" ht="15.75" x14ac:dyDescent="0.25">
      <c r="A189" s="48"/>
      <c r="B189" s="49" t="str">
        <f>INDEX('Pricing (Drugs) SS'!$B:$B,MATCH(F189,'Pricing (Drugs) SS'!$A:$A,0))</f>
        <v>SUCCINYLCHOLINE CHLORIDE INJECTION, USP 200mg/10mL (20mg/mL) 10mL VIAL</v>
      </c>
      <c r="C189" s="50" t="str">
        <f>IF(LEFT(F189,6)="Header","",INDEX('Pricing (Drugs) SS'!$E:$E,MATCH(F189,'Pricing (Drugs) SS'!$A:$A,0)))</f>
        <v>20mg/mL</v>
      </c>
      <c r="D189" s="49" t="str">
        <f>IF(LEFT(F189,6)="header","",INDEX('Pricing (Drugs) SS'!$F:$F,MATCH(F189,'Pricing (Drugs) SS'!$A:$A,0)))</f>
        <v>10mL</v>
      </c>
      <c r="E189" s="51" t="str">
        <f>IF(LEFT(F189,6)="Header","",INDEX('Pricing (Drugs) SS'!$D:$D,MATCH(F189,'Pricing (Drugs) SS'!$A:$A,0)))</f>
        <v>43598-666-25</v>
      </c>
      <c r="F189" s="119">
        <v>1015360</v>
      </c>
      <c r="G189" s="214" t="str">
        <f>IF(LEFT(F189,6)="Header","",INDEX('Tiered Cart Pricing Formulas'!$N:$N,MATCH(F189,'Tiered Cart Pricing Formulas'!$F:$F,0)))</f>
        <v>X</v>
      </c>
      <c r="H189" s="269"/>
      <c r="I189" s="270"/>
      <c r="J189" s="214" t="str">
        <f>IF(M189="header","",INDEX('Tiered Cart Pricing Formulas'!$N:$N,MATCH(F189,'Tiered Cart Pricing Formulas'!$F:$F,0)))</f>
        <v>X</v>
      </c>
      <c r="K189" s="268" t="str">
        <f>IF(LEFT(F189,6)="header","",INDEX('Tiered Cart Pricing Formulas'!$M:$M,MATCH(F189,'Tiered Cart Pricing Formulas'!$F:$F,0)))</f>
        <v>C</v>
      </c>
      <c r="L189" s="268" cm="1">
        <f t="array" aca="1" ref="L189" ca="1">CELL("protect",A189)</f>
        <v>0</v>
      </c>
      <c r="M189" s="268" t="str">
        <f t="shared" si="4"/>
        <v>101536</v>
      </c>
      <c r="N189" s="268" t="str">
        <f t="shared" ca="1" si="5"/>
        <v>Good</v>
      </c>
      <c r="O189" s="268" t="str">
        <f>IF(M189="header","",INDEX('Tiered Cart Pricing Formulas'!$O:$O,MATCH(F189,'Tiered Cart Pricing Formulas'!$F:$F,0)))</f>
        <v/>
      </c>
    </row>
    <row r="190" spans="1:15" ht="15.75" x14ac:dyDescent="0.25">
      <c r="A190" s="48"/>
      <c r="B190" s="49" t="str">
        <f>INDEX('Pricing (Drugs) SS'!$B:$B,MATCH(F190,'Pricing (Drugs) SS'!$A:$A,0))</f>
        <v>ROCURONIUM BROMIDE INJECTION, 50mg PER 5mL (10mg/mL) 5mL VIAL</v>
      </c>
      <c r="C190" s="50" t="str">
        <f>IF(LEFT(F190,6)="Header","",INDEX('Pricing (Drugs) SS'!$E:$E,MATCH(F190,'Pricing (Drugs) SS'!$A:$A,0)))</f>
        <v>10mg/mL</v>
      </c>
      <c r="D190" s="49" t="str">
        <f>IF(LEFT(F190,6)="header","",INDEX('Pricing (Drugs) SS'!$F:$F,MATCH(F190,'Pricing (Drugs) SS'!$A:$A,0)))</f>
        <v>5mL</v>
      </c>
      <c r="E190" s="51" t="str">
        <f>IF(LEFT(F190,6)="Header","",INDEX('Pricing (Drugs) SS'!$D:$D,MATCH(F190,'Pricing (Drugs) SS'!$A:$A,0)))</f>
        <v>55150-225-05</v>
      </c>
      <c r="F190" s="119">
        <v>1016210</v>
      </c>
      <c r="G190" s="214" t="str">
        <f>IF(LEFT(F190,6)="Header","",INDEX('Tiered Cart Pricing Formulas'!$N:$N,MATCH(F190,'Tiered Cart Pricing Formulas'!$F:$F,0)))</f>
        <v>X</v>
      </c>
      <c r="H190" s="269"/>
      <c r="I190" s="270"/>
      <c r="J190" s="214" t="str">
        <f>IF(M190="header","",INDEX('Tiered Cart Pricing Formulas'!$N:$N,MATCH(F190,'Tiered Cart Pricing Formulas'!$F:$F,0)))</f>
        <v>X</v>
      </c>
      <c r="K190" s="268" t="str">
        <f>IF(LEFT(F190,6)="header","",INDEX('Tiered Cart Pricing Formulas'!$M:$M,MATCH(F190,'Tiered Cart Pricing Formulas'!$F:$F,0)))</f>
        <v>C</v>
      </c>
      <c r="L190" s="268" cm="1">
        <f t="array" aca="1" ref="L190" ca="1">CELL("protect",A190)</f>
        <v>0</v>
      </c>
      <c r="M190" s="268" t="str">
        <f t="shared" si="4"/>
        <v>101621</v>
      </c>
      <c r="N190" s="268" t="str">
        <f t="shared" ca="1" si="5"/>
        <v>Good</v>
      </c>
      <c r="O190" s="268" t="str">
        <f>IF(M190="header","",INDEX('Tiered Cart Pricing Formulas'!$O:$O,MATCH(F190,'Tiered Cart Pricing Formulas'!$F:$F,0)))</f>
        <v/>
      </c>
    </row>
    <row r="191" spans="1:15" ht="15.75" x14ac:dyDescent="0.25">
      <c r="A191" s="48"/>
      <c r="B191" s="49" t="str">
        <f>INDEX('Pricing (Drugs) SS'!$B:$B,MATCH(F191,'Pricing (Drugs) SS'!$A:$A,0))</f>
        <v>ROCURONIUM BROMIDE INJECTION 100mg PER 10mL (10mg/mL) 10mL VIAL</v>
      </c>
      <c r="C191" s="50" t="str">
        <f>IF(LEFT(F191,6)="Header","",INDEX('Pricing (Drugs) SS'!$E:$E,MATCH(F191,'Pricing (Drugs) SS'!$A:$A,0)))</f>
        <v>10mg/mL</v>
      </c>
      <c r="D191" s="49" t="str">
        <f>IF(LEFT(F191,6)="header","",INDEX('Pricing (Drugs) SS'!$F:$F,MATCH(F191,'Pricing (Drugs) SS'!$A:$A,0)))</f>
        <v>10mL</v>
      </c>
      <c r="E191" s="51" t="str">
        <f>IF(LEFT(F191,6)="Header","",INDEX('Pricing (Drugs) SS'!$D:$D,MATCH(F191,'Pricing (Drugs) SS'!$A:$A,0)))</f>
        <v>55150-226-10</v>
      </c>
      <c r="F191" s="119">
        <v>1016200</v>
      </c>
      <c r="G191" s="214" t="str">
        <f>IF(LEFT(F191,6)="Header","",INDEX('Tiered Cart Pricing Formulas'!$N:$N,MATCH(F191,'Tiered Cart Pricing Formulas'!$F:$F,0)))</f>
        <v>X</v>
      </c>
      <c r="H191" s="269"/>
      <c r="I191" s="270"/>
      <c r="J191" s="214" t="str">
        <f>IF(M191="header","",INDEX('Tiered Cart Pricing Formulas'!$N:$N,MATCH(F191,'Tiered Cart Pricing Formulas'!$F:$F,0)))</f>
        <v>X</v>
      </c>
      <c r="K191" s="268" t="str">
        <f>IF(LEFT(F191,6)="header","",INDEX('Tiered Cart Pricing Formulas'!$M:$M,MATCH(F191,'Tiered Cart Pricing Formulas'!$F:$F,0)))</f>
        <v>C</v>
      </c>
      <c r="L191" s="268" cm="1">
        <f t="array" aca="1" ref="L191" ca="1">CELL("protect",A191)</f>
        <v>0</v>
      </c>
      <c r="M191" s="268" t="str">
        <f t="shared" si="4"/>
        <v>101620</v>
      </c>
      <c r="N191" s="268" t="str">
        <f t="shared" ca="1" si="5"/>
        <v>Good</v>
      </c>
      <c r="O191" s="268" t="str">
        <f>IF(M191="header","",INDEX('Tiered Cart Pricing Formulas'!$O:$O,MATCH(F191,'Tiered Cart Pricing Formulas'!$F:$F,0)))</f>
        <v/>
      </c>
    </row>
    <row r="192" spans="1:15" ht="15.75" x14ac:dyDescent="0.25">
      <c r="A192" s="48"/>
      <c r="B192" s="49" t="str">
        <f>INDEX('Pricing (Drugs) SS'!$B:$B,MATCH(F192,'Pricing (Drugs) SS'!$A:$A,0))</f>
        <v>VECURONIUM BROMIDE FOR INJECTION 10mg 1mg/mL 10mL VIAL</v>
      </c>
      <c r="C192" s="50" t="str">
        <f>IF(LEFT(F192,6)="Header","",INDEX('Pricing (Drugs) SS'!$E:$E,MATCH(F192,'Pricing (Drugs) SS'!$A:$A,0)))</f>
        <v>1mg/mL</v>
      </c>
      <c r="D192" s="49" t="str">
        <f>IF(LEFT(F192,6)="header","",INDEX('Pricing (Drugs) SS'!$F:$F,MATCH(F192,'Pricing (Drugs) SS'!$A:$A,0)))</f>
        <v>10mL</v>
      </c>
      <c r="E192" s="51" t="str">
        <f>IF(LEFT(F192,6)="Header","",INDEX('Pricing (Drugs) SS'!$D:$D,MATCH(F192,'Pricing (Drugs) SS'!$A:$A,0)))</f>
        <v>0409-1632-01</v>
      </c>
      <c r="F192" s="119">
        <v>1012950</v>
      </c>
      <c r="G192" s="214" t="str">
        <f>IF(LEFT(F192,6)="Header","",INDEX('Tiered Cart Pricing Formulas'!$N:$N,MATCH(F192,'Tiered Cart Pricing Formulas'!$F:$F,0)))</f>
        <v>X</v>
      </c>
      <c r="H192" s="269"/>
      <c r="I192" s="270"/>
      <c r="J192" s="214" t="str">
        <f>IF(M192="header","",INDEX('Tiered Cart Pricing Formulas'!$N:$N,MATCH(F192,'Tiered Cart Pricing Formulas'!$F:$F,0)))</f>
        <v>X</v>
      </c>
      <c r="K192" s="268" t="str">
        <f>IF(LEFT(F192,6)="header","",INDEX('Tiered Cart Pricing Formulas'!$M:$M,MATCH(F192,'Tiered Cart Pricing Formulas'!$F:$F,0)))</f>
        <v/>
      </c>
      <c r="L192" s="268" cm="1">
        <f t="array" aca="1" ref="L192" ca="1">CELL("protect",A192)</f>
        <v>0</v>
      </c>
      <c r="M192" s="268" t="str">
        <f t="shared" si="4"/>
        <v>101295</v>
      </c>
      <c r="N192" s="268" t="str">
        <f t="shared" ca="1" si="5"/>
        <v>Good</v>
      </c>
      <c r="O192" s="268" t="str">
        <f>IF(M192="header","",INDEX('Tiered Cart Pricing Formulas'!$O:$O,MATCH(F192,'Tiered Cart Pricing Formulas'!$F:$F,0)))</f>
        <v/>
      </c>
    </row>
    <row r="193" spans="1:15" ht="15.75" x14ac:dyDescent="0.25">
      <c r="A193" s="48"/>
      <c r="B193" s="49" t="str">
        <f>INDEX('Pricing (Drugs) SS'!$B:$B,MATCH(F193,'Pricing (Drugs) SS'!$A:$A,0))</f>
        <v>VECURONIUM BROMIDE FOR INJECTION, 10mg PER VIAL* 10mL VIAL</v>
      </c>
      <c r="C193" s="50" t="str">
        <f>IF(LEFT(F193,6)="Header","",INDEX('Pricing (Drugs) SS'!$E:$E,MATCH(F193,'Pricing (Drugs) SS'!$A:$A,0)))</f>
        <v>1mg/mL</v>
      </c>
      <c r="D193" s="49" t="str">
        <f>IF(LEFT(F193,6)="header","",INDEX('Pricing (Drugs) SS'!$F:$F,MATCH(F193,'Pricing (Drugs) SS'!$A:$A,0)))</f>
        <v>10mL</v>
      </c>
      <c r="E193" s="51" t="str">
        <f>IF(LEFT(F193,6)="Header","",INDEX('Pricing (Drugs) SS'!$D:$D,MATCH(F193,'Pricing (Drugs) SS'!$A:$A,0)))</f>
        <v>55150-235-10</v>
      </c>
      <c r="F193" s="119">
        <v>1016220</v>
      </c>
      <c r="G193" s="214" t="str">
        <f>IF(LEFT(F193,6)="Header","",INDEX('Tiered Cart Pricing Formulas'!$N:$N,MATCH(F193,'Tiered Cart Pricing Formulas'!$F:$F,0)))</f>
        <v>X</v>
      </c>
      <c r="H193" s="269"/>
      <c r="I193" s="270"/>
      <c r="J193" s="214" t="str">
        <f>IF(M193="header","",INDEX('Tiered Cart Pricing Formulas'!$N:$N,MATCH(F193,'Tiered Cart Pricing Formulas'!$F:$F,0)))</f>
        <v>X</v>
      </c>
      <c r="K193" s="268" t="str">
        <f>IF(LEFT(F193,6)="header","",INDEX('Tiered Cart Pricing Formulas'!$M:$M,MATCH(F193,'Tiered Cart Pricing Formulas'!$F:$F,0)))</f>
        <v/>
      </c>
      <c r="L193" s="268" cm="1">
        <f t="array" aca="1" ref="L193" ca="1">CELL("protect",A193)</f>
        <v>0</v>
      </c>
      <c r="M193" s="268" t="str">
        <f t="shared" si="4"/>
        <v>101622</v>
      </c>
      <c r="N193" s="268" t="str">
        <f t="shared" ca="1" si="5"/>
        <v>Good</v>
      </c>
      <c r="O193" s="268" t="str">
        <f>IF(M193="header","",INDEX('Tiered Cart Pricing Formulas'!$O:$O,MATCH(F193,'Tiered Cart Pricing Formulas'!$F:$F,0)))</f>
        <v/>
      </c>
    </row>
    <row r="194" spans="1:15" ht="15.75" x14ac:dyDescent="0.25">
      <c r="A194" s="118"/>
      <c r="B194" s="49" t="str">
        <f>INDEX('Pricing (Drugs) SS'!$B:$B,MATCH(F194,'Pricing (Drugs) SS'!$A:$A,0))</f>
        <v>TRANEXAMIC ACID</v>
      </c>
      <c r="C194" s="50" t="str">
        <f>IF(LEFT(F194,6)="Header","",INDEX('Pricing (Drugs) SS'!$E:$E,MATCH(F194,'Pricing (Drugs) SS'!$A:$A,0)))</f>
        <v/>
      </c>
      <c r="D194" s="49" t="str">
        <f>IF(LEFT(F194,6)="header","",INDEX('Pricing (Drugs) SS'!$F:$F,MATCH(F194,'Pricing (Drugs) SS'!$A:$A,0)))</f>
        <v/>
      </c>
      <c r="E194" s="51" t="str">
        <f>IF(LEFT(F194,6)="Header","",INDEX('Pricing (Drugs) SS'!$D:$D,MATCH(F194,'Pricing (Drugs) SS'!$A:$A,0)))</f>
        <v/>
      </c>
      <c r="F194" s="119" t="s">
        <v>1592</v>
      </c>
      <c r="G194" s="214" t="str">
        <f>IF(LEFT(F194,6)="Header","",INDEX('Tiered Cart Pricing Formulas'!$N:$N,MATCH(F194,'Tiered Cart Pricing Formulas'!$F:$F,0)))</f>
        <v/>
      </c>
      <c r="H194" s="51"/>
      <c r="I194" s="272"/>
      <c r="J194" s="214" t="str">
        <f>IF(M194="header","",INDEX('Tiered Cart Pricing Formulas'!$N:$N,MATCH(F194,'Tiered Cart Pricing Formulas'!$F:$F,0)))</f>
        <v/>
      </c>
      <c r="K194" s="268" t="str">
        <f>IF(LEFT(F194,6)="header","",INDEX('Tiered Cart Pricing Formulas'!$M:$M,MATCH(F194,'Tiered Cart Pricing Formulas'!$F:$F,0)))</f>
        <v/>
      </c>
      <c r="L194" s="268" cm="1">
        <f t="array" aca="1" ref="L194" ca="1">CELL("protect",A194)</f>
        <v>1</v>
      </c>
      <c r="M194" s="268" t="str">
        <f t="shared" si="4"/>
        <v>HEADER</v>
      </c>
      <c r="N194" s="268" t="str">
        <f t="shared" ca="1" si="5"/>
        <v>Good</v>
      </c>
      <c r="O194" s="268" t="str">
        <f>IF(M194="header","",INDEX('Tiered Cart Pricing Formulas'!$O:$O,MATCH(F194,'Tiered Cart Pricing Formulas'!$F:$F,0)))</f>
        <v/>
      </c>
    </row>
    <row r="195" spans="1:15" ht="15.75" x14ac:dyDescent="0.25">
      <c r="A195" s="48"/>
      <c r="B195" s="49" t="str">
        <f>INDEX('Pricing (Drugs) SS'!$B:$B,MATCH(F195,'Pricing (Drugs) SS'!$A:$A,0))</f>
        <v>TRANEXAMIC ACID INJECTION 1000mg PER 10mL (100mg/mL) 10mL VIAL</v>
      </c>
      <c r="C195" s="50" t="str">
        <f>IF(LEFT(F195,6)="Header","",INDEX('Pricing (Drugs) SS'!$E:$E,MATCH(F195,'Pricing (Drugs) SS'!$A:$A,0)))</f>
        <v>100mg/mL</v>
      </c>
      <c r="D195" s="49" t="str">
        <f>IF(LEFT(F195,6)="header","",INDEX('Pricing (Drugs) SS'!$F:$F,MATCH(F195,'Pricing (Drugs) SS'!$A:$A,0)))</f>
        <v>10mL</v>
      </c>
      <c r="E195" s="51" t="str">
        <f>IF(LEFT(F195,6)="Header","",INDEX('Pricing (Drugs) SS'!$D:$D,MATCH(F195,'Pricing (Drugs) SS'!$A:$A,0)))</f>
        <v>55150-188-10</v>
      </c>
      <c r="F195" s="119">
        <v>1015840</v>
      </c>
      <c r="G195" s="214" t="str">
        <f>IF(LEFT(F195,6)="Header","",INDEX('Tiered Cart Pricing Formulas'!$N:$N,MATCH(F195,'Tiered Cart Pricing Formulas'!$F:$F,0)))</f>
        <v/>
      </c>
      <c r="H195" s="269"/>
      <c r="I195" s="270"/>
      <c r="J195" s="214" t="str">
        <f>IF(M195="header","",INDEX('Tiered Cart Pricing Formulas'!$N:$N,MATCH(F195,'Tiered Cart Pricing Formulas'!$F:$F,0)))</f>
        <v/>
      </c>
      <c r="K195" s="268" t="str">
        <f>IF(LEFT(F195,6)="header","",INDEX('Tiered Cart Pricing Formulas'!$M:$M,MATCH(F195,'Tiered Cart Pricing Formulas'!$F:$F,0)))</f>
        <v/>
      </c>
      <c r="L195" s="268" cm="1">
        <f t="array" aca="1" ref="L195" ca="1">CELL("protect",A195)</f>
        <v>0</v>
      </c>
      <c r="M195" s="268" t="str">
        <f t="shared" si="4"/>
        <v>101584</v>
      </c>
      <c r="N195" s="268" t="str">
        <f t="shared" ca="1" si="5"/>
        <v>Good</v>
      </c>
      <c r="O195" s="268" t="str">
        <f>IF(M195="header","",INDEX('Tiered Cart Pricing Formulas'!$O:$O,MATCH(F195,'Tiered Cart Pricing Formulas'!$F:$F,0)))</f>
        <v/>
      </c>
    </row>
    <row r="196" spans="1:15" ht="15.75" x14ac:dyDescent="0.25">
      <c r="A196" s="118"/>
      <c r="B196" s="49" t="str">
        <f>INDEX('Pricing (Drugs) SS'!$B:$B,MATCH(F196,'Pricing (Drugs) SS'!$A:$A,0))</f>
        <v>VASOPRESSIN</v>
      </c>
      <c r="C196" s="50" t="str">
        <f>IF(LEFT(F196,6)="Header","",INDEX('Pricing (Drugs) SS'!$E:$E,MATCH(F196,'Pricing (Drugs) SS'!$A:$A,0)))</f>
        <v/>
      </c>
      <c r="D196" s="49" t="str">
        <f>IF(LEFT(F196,6)="header","",INDEX('Pricing (Drugs) SS'!$F:$F,MATCH(F196,'Pricing (Drugs) SS'!$A:$A,0)))</f>
        <v/>
      </c>
      <c r="E196" s="51" t="str">
        <f>IF(LEFT(F196,6)="Header","",INDEX('Pricing (Drugs) SS'!$D:$D,MATCH(F196,'Pricing (Drugs) SS'!$A:$A,0)))</f>
        <v/>
      </c>
      <c r="F196" s="119" t="s">
        <v>1593</v>
      </c>
      <c r="G196" s="214" t="str">
        <f>IF(LEFT(F196,6)="Header","",INDEX('Tiered Cart Pricing Formulas'!$N:$N,MATCH(F196,'Tiered Cart Pricing Formulas'!$F:$F,0)))</f>
        <v/>
      </c>
      <c r="H196" s="51"/>
      <c r="I196" s="272"/>
      <c r="J196" s="214" t="str">
        <f>IF(M196="header","",INDEX('Tiered Cart Pricing Formulas'!$N:$N,MATCH(F196,'Tiered Cart Pricing Formulas'!$F:$F,0)))</f>
        <v/>
      </c>
      <c r="K196" s="268" t="str">
        <f>IF(LEFT(F196,6)="header","",INDEX('Tiered Cart Pricing Formulas'!$M:$M,MATCH(F196,'Tiered Cart Pricing Formulas'!$F:$F,0)))</f>
        <v/>
      </c>
      <c r="L196" s="268" cm="1">
        <f t="array" aca="1" ref="L196" ca="1">CELL("protect",A196)</f>
        <v>1</v>
      </c>
      <c r="M196" s="268" t="str">
        <f t="shared" si="4"/>
        <v>HEADER</v>
      </c>
      <c r="N196" s="268" t="str">
        <f t="shared" ca="1" si="5"/>
        <v>Good</v>
      </c>
      <c r="O196" s="268" t="str">
        <f>IF(M196="header","",INDEX('Tiered Cart Pricing Formulas'!$O:$O,MATCH(F196,'Tiered Cart Pricing Formulas'!$F:$F,0)))</f>
        <v/>
      </c>
    </row>
    <row r="197" spans="1:15" ht="15.75" x14ac:dyDescent="0.25">
      <c r="A197" s="48"/>
      <c r="B197" s="49" t="str">
        <f>INDEX('Pricing (Drugs) SS'!$B:$B,MATCH(F197,'Pricing (Drugs) SS'!$A:$A,0))</f>
        <v>VASOSTRICT(TM) (VASOPRESSIN INJECTION, USP) 20 UNITS PER mL 1mL VIAL</v>
      </c>
      <c r="C197" s="50" t="str">
        <f>IF(LEFT(F197,6)="Header","",INDEX('Pricing (Drugs) SS'!$E:$E,MATCH(F197,'Pricing (Drugs) SS'!$A:$A,0)))</f>
        <v>20 UNITS PER mL</v>
      </c>
      <c r="D197" s="49" t="str">
        <f>IF(LEFT(F197,6)="header","",INDEX('Pricing (Drugs) SS'!$F:$F,MATCH(F197,'Pricing (Drugs) SS'!$A:$A,0)))</f>
        <v>1mL</v>
      </c>
      <c r="E197" s="51" t="str">
        <f>IF(LEFT(F197,6)="Header","",INDEX('Pricing (Drugs) SS'!$D:$D,MATCH(F197,'Pricing (Drugs) SS'!$A:$A,0)))</f>
        <v>42023-0164-25</v>
      </c>
      <c r="F197" s="119">
        <v>1009720</v>
      </c>
      <c r="G197" s="214" t="str">
        <f>IF(LEFT(F197,6)="Header","",INDEX('Tiered Cart Pricing Formulas'!$N:$N,MATCH(F197,'Tiered Cart Pricing Formulas'!$F:$F,0)))</f>
        <v/>
      </c>
      <c r="H197" s="269"/>
      <c r="I197" s="270"/>
      <c r="J197" s="214" t="str">
        <f>IF(M197="header","",INDEX('Tiered Cart Pricing Formulas'!$N:$N,MATCH(F197,'Tiered Cart Pricing Formulas'!$F:$F,0)))</f>
        <v/>
      </c>
      <c r="K197" s="268" t="str">
        <f>IF(LEFT(F197,6)="header","",INDEX('Tiered Cart Pricing Formulas'!$M:$M,MATCH(F197,'Tiered Cart Pricing Formulas'!$F:$F,0)))</f>
        <v>C</v>
      </c>
      <c r="L197" s="268" cm="1">
        <f t="array" aca="1" ref="L197" ca="1">CELL("protect",A197)</f>
        <v>0</v>
      </c>
      <c r="M197" s="268" t="str">
        <f t="shared" si="4"/>
        <v>100972</v>
      </c>
      <c r="N197" s="268" t="str">
        <f t="shared" ca="1" si="5"/>
        <v>Good</v>
      </c>
      <c r="O197" s="268" t="str">
        <f>IF(M197="header","",INDEX('Tiered Cart Pricing Formulas'!$O:$O,MATCH(F197,'Tiered Cart Pricing Formulas'!$F:$F,0)))</f>
        <v/>
      </c>
    </row>
    <row r="198" spans="1:15" ht="15.75" x14ac:dyDescent="0.25">
      <c r="A198" s="118"/>
      <c r="B198" s="49" t="str">
        <f>INDEX('Pricing (Drugs) SS'!$B:$B,MATCH(F198,'Pricing (Drugs) SS'!$A:$A,0))</f>
        <v>VERAPAMIL</v>
      </c>
      <c r="C198" s="50" t="str">
        <f>IF(LEFT(F198,6)="Header","",INDEX('Pricing (Drugs) SS'!$E:$E,MATCH(F198,'Pricing (Drugs) SS'!$A:$A,0)))</f>
        <v/>
      </c>
      <c r="D198" s="49" t="str">
        <f>IF(LEFT(F198,6)="header","",INDEX('Pricing (Drugs) SS'!$F:$F,MATCH(F198,'Pricing (Drugs) SS'!$A:$A,0)))</f>
        <v/>
      </c>
      <c r="E198" s="51" t="str">
        <f>IF(LEFT(F198,6)="Header","",INDEX('Pricing (Drugs) SS'!$D:$D,MATCH(F198,'Pricing (Drugs) SS'!$A:$A,0)))</f>
        <v/>
      </c>
      <c r="F198" s="119" t="s">
        <v>1594</v>
      </c>
      <c r="G198" s="214" t="str">
        <f>IF(LEFT(F198,6)="Header","",INDEX('Tiered Cart Pricing Formulas'!$N:$N,MATCH(F198,'Tiered Cart Pricing Formulas'!$F:$F,0)))</f>
        <v/>
      </c>
      <c r="H198" s="51"/>
      <c r="I198" s="272"/>
      <c r="J198" s="214" t="str">
        <f>IF(M198="header","",INDEX('Tiered Cart Pricing Formulas'!$N:$N,MATCH(F198,'Tiered Cart Pricing Formulas'!$F:$F,0)))</f>
        <v/>
      </c>
      <c r="K198" s="268" t="str">
        <f>IF(LEFT(F198,6)="header","",INDEX('Tiered Cart Pricing Formulas'!$M:$M,MATCH(F198,'Tiered Cart Pricing Formulas'!$F:$F,0)))</f>
        <v/>
      </c>
      <c r="L198" s="268" cm="1">
        <f t="array" aca="1" ref="L198" ca="1">CELL("protect",A198)</f>
        <v>1</v>
      </c>
      <c r="M198" s="268" t="str">
        <f t="shared" si="4"/>
        <v>HEADER</v>
      </c>
      <c r="N198" s="268" t="str">
        <f t="shared" ca="1" si="5"/>
        <v>Good</v>
      </c>
      <c r="O198" s="268" t="str">
        <f>IF(M198="header","",INDEX('Tiered Cart Pricing Formulas'!$O:$O,MATCH(F198,'Tiered Cart Pricing Formulas'!$F:$F,0)))</f>
        <v/>
      </c>
    </row>
    <row r="199" spans="1:15" ht="15.75" x14ac:dyDescent="0.25">
      <c r="A199" s="48"/>
      <c r="B199" s="49" t="str">
        <f>INDEX('Pricing (Drugs) SS'!$B:$B,MATCH(F199,'Pricing (Drugs) SS'!$A:$A,0))</f>
        <v>VERAPAMIL HCI INJECTION USP, 5mg PER 2mL (2.5mg/mL) 2mL VIAL</v>
      </c>
      <c r="C199" s="50" t="str">
        <f>IF(LEFT(F199,6)="Header","",INDEX('Pricing (Drugs) SS'!$E:$E,MATCH(F199,'Pricing (Drugs) SS'!$A:$A,0)))</f>
        <v>2.5mg/mL</v>
      </c>
      <c r="D199" s="49" t="str">
        <f>IF(LEFT(F199,6)="header","",INDEX('Pricing (Drugs) SS'!$F:$F,MATCH(F199,'Pricing (Drugs) SS'!$A:$A,0)))</f>
        <v>2mL</v>
      </c>
      <c r="E199" s="51" t="str">
        <f>IF(LEFT(F199,6)="Header","",INDEX('Pricing (Drugs) SS'!$D:$D,MATCH(F199,'Pricing (Drugs) SS'!$A:$A,0)))</f>
        <v>55150-342-25</v>
      </c>
      <c r="F199" s="119">
        <v>1016240</v>
      </c>
      <c r="G199" s="214" t="str">
        <f>IF(LEFT(F199,6)="Header","",INDEX('Tiered Cart Pricing Formulas'!$N:$N,MATCH(F199,'Tiered Cart Pricing Formulas'!$F:$F,0)))</f>
        <v/>
      </c>
      <c r="H199" s="269"/>
      <c r="I199" s="270"/>
      <c r="J199" s="214" t="str">
        <f>IF(M199="header","",INDEX('Tiered Cart Pricing Formulas'!$N:$N,MATCH(F199,'Tiered Cart Pricing Formulas'!$F:$F,0)))</f>
        <v/>
      </c>
      <c r="K199" s="268" t="str">
        <f>IF(LEFT(F199,6)="header","",INDEX('Tiered Cart Pricing Formulas'!$M:$M,MATCH(F199,'Tiered Cart Pricing Formulas'!$F:$F,0)))</f>
        <v/>
      </c>
      <c r="L199" s="268" cm="1">
        <f t="array" aca="1" ref="L199" ca="1">CELL("protect",A199)</f>
        <v>0</v>
      </c>
      <c r="M199" s="268" t="str">
        <f t="shared" si="4"/>
        <v>101624</v>
      </c>
      <c r="N199" s="268" t="str">
        <f t="shared" ca="1" si="5"/>
        <v>Good</v>
      </c>
      <c r="O199" s="268" t="str">
        <f>IF(M199="header","",INDEX('Tiered Cart Pricing Formulas'!$O:$O,MATCH(F199,'Tiered Cart Pricing Formulas'!$F:$F,0)))</f>
        <v/>
      </c>
    </row>
    <row r="200" spans="1:15" ht="15.75" x14ac:dyDescent="0.25">
      <c r="A200" s="48"/>
      <c r="B200" s="49" t="str">
        <f>INDEX('Pricing (Drugs) SS'!$B:$B,MATCH(F200,'Pricing (Drugs) SS'!$A:$A,0))</f>
        <v>VERAPAMIL HCI INJECTION, USP 10mg PER 4mL (2.5mg/mL) 4mL VIAL</v>
      </c>
      <c r="C200" s="50" t="str">
        <f>IF(LEFT(F200,6)="Header","",INDEX('Pricing (Drugs) SS'!$E:$E,MATCH(F200,'Pricing (Drugs) SS'!$A:$A,0)))</f>
        <v>2.5mg/mL</v>
      </c>
      <c r="D200" s="49" t="str">
        <f>IF(LEFT(F200,6)="header","",INDEX('Pricing (Drugs) SS'!$F:$F,MATCH(F200,'Pricing (Drugs) SS'!$A:$A,0)))</f>
        <v>4mL</v>
      </c>
      <c r="E200" s="51" t="str">
        <f>IF(LEFT(F200,6)="Header","",INDEX('Pricing (Drugs) SS'!$D:$D,MATCH(F200,'Pricing (Drugs) SS'!$A:$A,0)))</f>
        <v>55150-343-05</v>
      </c>
      <c r="F200" s="119">
        <v>1016230</v>
      </c>
      <c r="G200" s="214" t="str">
        <f>IF(LEFT(F200,6)="Header","",INDEX('Tiered Cart Pricing Formulas'!$N:$N,MATCH(F200,'Tiered Cart Pricing Formulas'!$F:$F,0)))</f>
        <v/>
      </c>
      <c r="H200" s="269"/>
      <c r="I200" s="270"/>
      <c r="J200" s="214" t="str">
        <f>IF(M200="header","",INDEX('Tiered Cart Pricing Formulas'!$N:$N,MATCH(F200,'Tiered Cart Pricing Formulas'!$F:$F,0)))</f>
        <v/>
      </c>
      <c r="K200" s="268" t="str">
        <f>IF(LEFT(F200,6)="header","",INDEX('Tiered Cart Pricing Formulas'!$M:$M,MATCH(F200,'Tiered Cart Pricing Formulas'!$F:$F,0)))</f>
        <v/>
      </c>
      <c r="L200" s="268" cm="1">
        <f t="array" aca="1" ref="L200" ca="1">CELL("protect",A200)</f>
        <v>0</v>
      </c>
      <c r="M200" s="268" t="str">
        <f t="shared" si="4"/>
        <v>101623</v>
      </c>
      <c r="N200" s="268" t="str">
        <f t="shared" ca="1" si="5"/>
        <v>Good</v>
      </c>
      <c r="O200" s="268" t="str">
        <f>IF(M200="header","",INDEX('Tiered Cart Pricing Formulas'!$O:$O,MATCH(F200,'Tiered Cart Pricing Formulas'!$F:$F,0)))</f>
        <v/>
      </c>
    </row>
    <row r="201" spans="1:15" ht="15.75" x14ac:dyDescent="0.25">
      <c r="A201" s="48"/>
      <c r="B201" s="49" t="str">
        <f>INDEX('Pricing (Drugs) SS'!$B:$B,MATCH(F201,'Pricing (Drugs) SS'!$A:$A,0))</f>
        <v>VERAPAMIL HYDROCHLORIDE INJECTION, USP 10mg (2.5 mg/mL) 4mL ANSYR SYR</v>
      </c>
      <c r="C201" s="50" t="str">
        <f>IF(LEFT(F201,6)="Header","",INDEX('Pricing (Drugs) SS'!$E:$E,MATCH(F201,'Pricing (Drugs) SS'!$A:$A,0)))</f>
        <v>10mg (2.5 mg/mL)</v>
      </c>
      <c r="D201" s="49" t="str">
        <f>IF(LEFT(F201,6)="header","",INDEX('Pricing (Drugs) SS'!$F:$F,MATCH(F201,'Pricing (Drugs) SS'!$A:$A,0)))</f>
        <v>4mL</v>
      </c>
      <c r="E201" s="51" t="str">
        <f>IF(LEFT(F201,6)="Header","",INDEX('Pricing (Drugs) SS'!$D:$D,MATCH(F201,'Pricing (Drugs) SS'!$A:$A,0)))</f>
        <v>0409-9633-05</v>
      </c>
      <c r="F201" s="119">
        <v>1000720</v>
      </c>
      <c r="G201" s="214" t="str">
        <f>IF(LEFT(F201,6)="Header","",INDEX('Tiered Cart Pricing Formulas'!$N:$N,MATCH(F201,'Tiered Cart Pricing Formulas'!$F:$F,0)))</f>
        <v/>
      </c>
      <c r="H201" s="269"/>
      <c r="I201" s="270"/>
      <c r="J201" s="214" t="str">
        <f>IF(M201="header","",INDEX('Tiered Cart Pricing Formulas'!$N:$N,MATCH(F201,'Tiered Cart Pricing Formulas'!$F:$F,0)))</f>
        <v/>
      </c>
      <c r="K201" s="268" t="str">
        <f>IF(LEFT(F201,6)="header","",INDEX('Tiered Cart Pricing Formulas'!$M:$M,MATCH(F201,'Tiered Cart Pricing Formulas'!$F:$F,0)))</f>
        <v/>
      </c>
      <c r="L201" s="268" cm="1">
        <f t="array" aca="1" ref="L201" ca="1">CELL("protect",A201)</f>
        <v>0</v>
      </c>
      <c r="M201" s="268" t="str">
        <f t="shared" si="4"/>
        <v>100072</v>
      </c>
      <c r="N201" s="268" t="str">
        <f t="shared" ca="1" si="5"/>
        <v>Good</v>
      </c>
      <c r="O201" s="268" t="str">
        <f>IF(M201="header","",INDEX('Tiered Cart Pricing Formulas'!$O:$O,MATCH(F201,'Tiered Cart Pricing Formulas'!$F:$F,0)))</f>
        <v/>
      </c>
    </row>
    <row r="202" spans="1:15" ht="15.75" x14ac:dyDescent="0.25">
      <c r="A202" s="118"/>
      <c r="B202" s="49" t="str">
        <f>INDEX('Pricing (Drugs) SS'!$B:$B,MATCH(F202,'Pricing (Drugs) SS'!$A:$A,0))</f>
        <v>WATER/STERILE/BACTERIOSTATIC</v>
      </c>
      <c r="C202" s="50" t="str">
        <f>IF(LEFT(F202,6)="Header","",INDEX('Pricing (Drugs) SS'!$E:$E,MATCH(F202,'Pricing (Drugs) SS'!$A:$A,0)))</f>
        <v/>
      </c>
      <c r="D202" s="49" t="str">
        <f>IF(LEFT(F202,6)="header","",INDEX('Pricing (Drugs) SS'!$F:$F,MATCH(F202,'Pricing (Drugs) SS'!$A:$A,0)))</f>
        <v/>
      </c>
      <c r="E202" s="51" t="str">
        <f>IF(LEFT(F202,6)="Header","",INDEX('Pricing (Drugs) SS'!$D:$D,MATCH(F202,'Pricing (Drugs) SS'!$A:$A,0)))</f>
        <v/>
      </c>
      <c r="F202" s="119" t="s">
        <v>1595</v>
      </c>
      <c r="G202" s="214" t="str">
        <f>IF(LEFT(F202,6)="Header","",INDEX('Tiered Cart Pricing Formulas'!$N:$N,MATCH(F202,'Tiered Cart Pricing Formulas'!$F:$F,0)))</f>
        <v/>
      </c>
      <c r="H202" s="51"/>
      <c r="I202" s="272"/>
      <c r="J202" s="214" t="str">
        <f>IF(M202="header","",INDEX('Tiered Cart Pricing Formulas'!$N:$N,MATCH(F202,'Tiered Cart Pricing Formulas'!$F:$F,0)))</f>
        <v/>
      </c>
      <c r="K202" s="268" t="str">
        <f>IF(LEFT(F202,6)="header","",INDEX('Tiered Cart Pricing Formulas'!$M:$M,MATCH(F202,'Tiered Cart Pricing Formulas'!$F:$F,0)))</f>
        <v/>
      </c>
      <c r="L202" s="268" cm="1">
        <f t="array" aca="1" ref="L202" ca="1">CELL("protect",A202)</f>
        <v>1</v>
      </c>
      <c r="M202" s="268" t="str">
        <f t="shared" si="4"/>
        <v>HEADER</v>
      </c>
      <c r="N202" s="268" t="str">
        <f t="shared" ca="1" si="5"/>
        <v>Good</v>
      </c>
      <c r="O202" s="268" t="str">
        <f>IF(M202="header","",INDEX('Tiered Cart Pricing Formulas'!$O:$O,MATCH(F202,'Tiered Cart Pricing Formulas'!$F:$F,0)))</f>
        <v/>
      </c>
    </row>
    <row r="203" spans="1:15" ht="15.75" x14ac:dyDescent="0.25">
      <c r="A203" s="48"/>
      <c r="B203" s="49" t="str">
        <f>INDEX('Pricing (Drugs) SS'!$B:$B,MATCH(F203,'Pricing (Drugs) SS'!$A:$A,0))</f>
        <v>STERILE WATER FOR INJECTION, USP 20mL VIAL</v>
      </c>
      <c r="C203" s="50">
        <f>IF(LEFT(F203,6)="Header","",INDEX('Pricing (Drugs) SS'!$E:$E,MATCH(F203,'Pricing (Drugs) SS'!$A:$A,0)))</f>
        <v>0</v>
      </c>
      <c r="D203" s="49" t="str">
        <f>IF(LEFT(F203,6)="header","",INDEX('Pricing (Drugs) SS'!$F:$F,MATCH(F203,'Pricing (Drugs) SS'!$A:$A,0)))</f>
        <v>20mL</v>
      </c>
      <c r="E203" s="51" t="str">
        <f>IF(LEFT(F203,6)="Header","",INDEX('Pricing (Drugs) SS'!$D:$D,MATCH(F203,'Pricing (Drugs) SS'!$A:$A,0)))</f>
        <v>0409-4887-20</v>
      </c>
      <c r="F203" s="119">
        <v>1012940</v>
      </c>
      <c r="G203" s="214" t="str">
        <f>IF(LEFT(F203,6)="Header","",INDEX('Tiered Cart Pricing Formulas'!$N:$N,MATCH(F203,'Tiered Cart Pricing Formulas'!$F:$F,0)))</f>
        <v/>
      </c>
      <c r="H203" s="269"/>
      <c r="I203" s="270"/>
      <c r="J203" s="214" t="str">
        <f>IF(M203="header","",INDEX('Tiered Cart Pricing Formulas'!$N:$N,MATCH(F203,'Tiered Cart Pricing Formulas'!$F:$F,0)))</f>
        <v/>
      </c>
      <c r="K203" s="268" t="str">
        <f>IF(LEFT(F203,6)="header","",INDEX('Tiered Cart Pricing Formulas'!$M:$M,MATCH(F203,'Tiered Cart Pricing Formulas'!$F:$F,0)))</f>
        <v/>
      </c>
      <c r="L203" s="268" cm="1">
        <f t="array" aca="1" ref="L203" ca="1">CELL("protect",A203)</f>
        <v>0</v>
      </c>
      <c r="M203" s="268" t="str">
        <f t="shared" si="4"/>
        <v>101294</v>
      </c>
      <c r="N203" s="268" t="str">
        <f t="shared" ca="1" si="5"/>
        <v>Good</v>
      </c>
      <c r="O203" s="268" t="str">
        <f>IF(M203="header","",INDEX('Tiered Cart Pricing Formulas'!$O:$O,MATCH(F203,'Tiered Cart Pricing Formulas'!$F:$F,0)))</f>
        <v/>
      </c>
    </row>
    <row r="204" spans="1:15" ht="15.75" x14ac:dyDescent="0.25">
      <c r="A204" s="48"/>
      <c r="B204" s="49" t="str">
        <f>INDEX('Pricing (Drugs) SS'!$B:$B,MATCH(F204,'Pricing (Drugs) SS'!$A:$A,0))</f>
        <v>STERILE WATER FOR INJECTION, USP 50mL VIAL</v>
      </c>
      <c r="C204" s="50">
        <f>IF(LEFT(F204,6)="Header","",INDEX('Pricing (Drugs) SS'!$E:$E,MATCH(F204,'Pricing (Drugs) SS'!$A:$A,0)))</f>
        <v>0</v>
      </c>
      <c r="D204" s="49" t="str">
        <f>IF(LEFT(F204,6)="header","",INDEX('Pricing (Drugs) SS'!$F:$F,MATCH(F204,'Pricing (Drugs) SS'!$A:$A,0)))</f>
        <v>50mL</v>
      </c>
      <c r="E204" s="51" t="str">
        <f>IF(LEFT(F204,6)="Header","",INDEX('Pricing (Drugs) SS'!$D:$D,MATCH(F204,'Pricing (Drugs) SS'!$A:$A,0)))</f>
        <v>0409-4887-50</v>
      </c>
      <c r="F204" s="119">
        <v>1000680</v>
      </c>
      <c r="G204" s="214" t="str">
        <f>IF(LEFT(F204,6)="Header","",INDEX('Tiered Cart Pricing Formulas'!$N:$N,MATCH(F204,'Tiered Cart Pricing Formulas'!$F:$F,0)))</f>
        <v/>
      </c>
      <c r="H204" s="269"/>
      <c r="I204" s="270"/>
      <c r="J204" s="214" t="str">
        <f>IF(M204="header","",INDEX('Tiered Cart Pricing Formulas'!$N:$N,MATCH(F204,'Tiered Cart Pricing Formulas'!$F:$F,0)))</f>
        <v/>
      </c>
      <c r="K204" s="268" t="str">
        <f>IF(LEFT(F204,6)="header","",INDEX('Tiered Cart Pricing Formulas'!$M:$M,MATCH(F204,'Tiered Cart Pricing Formulas'!$F:$F,0)))</f>
        <v/>
      </c>
      <c r="L204" s="268" cm="1">
        <f t="array" aca="1" ref="L204" ca="1">CELL("protect",A204)</f>
        <v>0</v>
      </c>
      <c r="M204" s="268" t="str">
        <f t="shared" ref="M204" si="6">LEFT(F204,6)</f>
        <v>100068</v>
      </c>
      <c r="N204" s="268" t="str">
        <f t="shared" ca="1" si="5"/>
        <v>Good</v>
      </c>
      <c r="O204" s="268" t="str">
        <f>IF(M204="header","",INDEX('Tiered Cart Pricing Formulas'!$O:$O,MATCH(F204,'Tiered Cart Pricing Formulas'!$F:$F,0)))</f>
        <v/>
      </c>
    </row>
    <row r="205" spans="1:15" ht="15.75" x14ac:dyDescent="0.25">
      <c r="A205" s="48"/>
      <c r="B205" s="49" t="str">
        <f>INDEX('Pricing (Drugs) SS'!$B:$B,MATCH(F205,'Pricing (Drugs) SS'!$A:$A,0))</f>
        <v>STERILE WATER FOR INJECTION, USP 100mL VIAL</v>
      </c>
      <c r="C205" s="50">
        <f>IF(LEFT(F205,6)="Header","",INDEX('Pricing (Drugs) SS'!$E:$E,MATCH(F205,'Pricing (Drugs) SS'!$A:$A,0)))</f>
        <v>0</v>
      </c>
      <c r="D205" s="49" t="str">
        <f>IF(LEFT(F205,6)="header","",INDEX('Pricing (Drugs) SS'!$F:$F,MATCH(F205,'Pricing (Drugs) SS'!$A:$A,0)))</f>
        <v>100mL</v>
      </c>
      <c r="E205" s="51" t="str">
        <f>IF(LEFT(F205,6)="Header","",INDEX('Pricing (Drugs) SS'!$D:$D,MATCH(F205,'Pricing (Drugs) SS'!$A:$A,0)))</f>
        <v>0409-4887-99</v>
      </c>
      <c r="F205" s="119">
        <v>1000690</v>
      </c>
      <c r="G205" s="214" t="str">
        <f>IF(LEFT(F205,6)="Header","",INDEX('Tiered Cart Pricing Formulas'!$N:$N,MATCH(F205,'Tiered Cart Pricing Formulas'!$F:$F,0)))</f>
        <v/>
      </c>
      <c r="H205" s="269"/>
      <c r="I205" s="270"/>
      <c r="J205" s="214" t="str">
        <f>IF(M205="header","",INDEX('Tiered Cart Pricing Formulas'!$N:$N,MATCH(F205,'Tiered Cart Pricing Formulas'!$F:$F,0)))</f>
        <v/>
      </c>
      <c r="K205" s="268" t="str">
        <f>IF(LEFT(F205,6)="header","",INDEX('Tiered Cart Pricing Formulas'!$M:$M,MATCH(F205,'Tiered Cart Pricing Formulas'!$F:$F,0)))</f>
        <v/>
      </c>
      <c r="L205" s="268" cm="1">
        <f t="array" aca="1" ref="L205" ca="1">CELL("protect",A205)</f>
        <v>0</v>
      </c>
      <c r="M205" s="268" t="str">
        <f t="shared" ref="M205" si="7">LEFT(F205,6)</f>
        <v>100069</v>
      </c>
      <c r="N205" s="268" t="str">
        <f t="shared" ref="N205" ca="1" si="8">IF(AND(L205=1,M205="header"),"Good",IF(AND(M205&lt;&gt;"Header",L205=0),"Good","Bad"))</f>
        <v>Good</v>
      </c>
      <c r="O205" s="268" t="str">
        <f>IF(M205="header","",INDEX('Tiered Cart Pricing Formulas'!$O:$O,MATCH(F205,'Tiered Cart Pricing Formulas'!$F:$F,0)))</f>
        <v/>
      </c>
    </row>
  </sheetData>
  <sheetProtection autoFilter="0"/>
  <autoFilter ref="A11:I205" xr:uid="{783FC82C-BCCC-40F7-AFCC-A1997A7172B3}"/>
  <mergeCells count="5">
    <mergeCell ref="A10:F10"/>
    <mergeCell ref="A1:F1"/>
    <mergeCell ref="A2:F2"/>
    <mergeCell ref="A3:F3"/>
    <mergeCell ref="A5:F5"/>
  </mergeCells>
  <conditionalFormatting sqref="A12:I4960">
    <cfRule type="expression" dxfId="19" priority="7">
      <formula>LEFT($F12,6)="Header"</formula>
    </cfRule>
  </conditionalFormatting>
  <conditionalFormatting sqref="B12:F452">
    <cfRule type="expression" dxfId="18" priority="8" stopIfTrue="1">
      <formula>$O12="X"</formula>
    </cfRule>
    <cfRule type="expression" dxfId="17" priority="391">
      <formula>$K12="C"</formula>
    </cfRule>
  </conditionalFormatting>
  <conditionalFormatting sqref="F12:F4960">
    <cfRule type="containsText" dxfId="16" priority="4" operator="containsText" text="Header">
      <formula>NOT(ISERROR(SEARCH("Header",F12)))</formula>
    </cfRule>
  </conditionalFormatting>
  <conditionalFormatting sqref="F12:F4962">
    <cfRule type="expression" dxfId="15" priority="3">
      <formula>$N12="Bad"</formula>
    </cfRule>
  </conditionalFormatting>
  <dataValidations count="1">
    <dataValidation type="list" allowBlank="1" showInputMessage="1" showErrorMessage="1" sqref="H12:H205" xr:uid="{954B819B-620B-4D53-B2E5-6C009BCAD83E}">
      <formula1>"Backordered"</formula1>
    </dataValidation>
  </dataValidations>
  <pageMargins left="0.7" right="0.7" top="0.75" bottom="0.75" header="0.3" footer="0.3"/>
  <pageSetup scale="40" fitToHeight="0" orientation="portrait"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BD448-05F2-437C-A1BA-31C759C5340C}">
  <sheetPr codeName="Sheet7">
    <pageSetUpPr autoPageBreaks="0" fitToPage="1"/>
  </sheetPr>
  <dimension ref="A1:W169"/>
  <sheetViews>
    <sheetView showGridLines="0" topLeftCell="A22" zoomScaleNormal="100" workbookViewId="0">
      <pane ySplit="12" topLeftCell="A34" activePane="bottomLeft" state="frozen"/>
      <selection activeCell="E29" sqref="E29:K29"/>
      <selection pane="bottomLeft" activeCell="E29" sqref="E29:K29"/>
    </sheetView>
  </sheetViews>
  <sheetFormatPr defaultColWidth="8.85546875" defaultRowHeight="15" x14ac:dyDescent="0.25"/>
  <cols>
    <col min="1" max="1" width="15.140625" style="117" customWidth="1"/>
    <col min="2" max="2" width="88.5703125" style="117" customWidth="1"/>
    <col min="3" max="3" width="51.7109375" style="117" bestFit="1" customWidth="1"/>
    <col min="4" max="4" width="15.42578125" style="117" bestFit="1" customWidth="1"/>
    <col min="5" max="5" width="35.28515625" style="117" customWidth="1"/>
    <col min="6" max="6" width="18.140625" style="117" customWidth="1"/>
    <col min="7" max="8" width="18.140625" style="230" customWidth="1"/>
    <col min="9" max="9" width="18.42578125" style="155" bestFit="1" customWidth="1"/>
    <col min="10" max="10" width="14.5703125" style="155" bestFit="1" customWidth="1"/>
    <col min="11" max="11" width="10.42578125" style="155" bestFit="1" customWidth="1"/>
    <col min="12" max="12" width="17.5703125" style="133" bestFit="1" customWidth="1"/>
    <col min="13" max="13" width="6.7109375" style="124" bestFit="1" customWidth="1"/>
    <col min="14" max="14" width="15.28515625" style="124" bestFit="1" customWidth="1"/>
    <col min="15" max="15" width="10.7109375" style="124" bestFit="1" customWidth="1"/>
    <col min="16" max="16" width="14.5703125" style="124" customWidth="1"/>
    <col min="17" max="18" width="19.28515625" style="124" bestFit="1" customWidth="1"/>
    <col min="19" max="19" width="21.140625" style="124" bestFit="1" customWidth="1"/>
    <col min="20" max="20" width="10.5703125" style="117" customWidth="1"/>
    <col min="21" max="16384" width="8.85546875" style="117"/>
  </cols>
  <sheetData>
    <row r="1" spans="1:23" ht="54" customHeight="1" x14ac:dyDescent="0.25">
      <c r="A1" s="351" t="s">
        <v>13</v>
      </c>
      <c r="B1" s="352"/>
      <c r="C1" s="352"/>
      <c r="D1" s="352"/>
      <c r="E1" s="352"/>
      <c r="F1" s="352"/>
      <c r="G1" s="352"/>
      <c r="H1" s="352"/>
      <c r="I1" s="352"/>
      <c r="J1" s="352"/>
      <c r="K1" s="352"/>
      <c r="L1" s="132"/>
    </row>
    <row r="2" spans="1:23" ht="24" customHeight="1" x14ac:dyDescent="0.35">
      <c r="A2" s="353" t="s">
        <v>40</v>
      </c>
      <c r="B2" s="354"/>
      <c r="C2" s="354"/>
      <c r="D2" s="354"/>
      <c r="E2" s="354"/>
      <c r="F2" s="354"/>
      <c r="G2" s="354"/>
      <c r="H2" s="354"/>
      <c r="I2" s="354"/>
      <c r="J2" s="354"/>
      <c r="K2" s="354"/>
      <c r="L2" s="132"/>
    </row>
    <row r="3" spans="1:23" ht="39" customHeight="1" x14ac:dyDescent="0.25">
      <c r="A3" s="355" t="s">
        <v>14</v>
      </c>
      <c r="B3" s="356"/>
      <c r="C3" s="356"/>
      <c r="D3" s="356"/>
      <c r="E3" s="356"/>
      <c r="F3" s="356"/>
      <c r="G3" s="356"/>
      <c r="H3" s="356"/>
      <c r="I3" s="356"/>
      <c r="J3" s="356"/>
      <c r="K3" s="356"/>
      <c r="L3" s="132"/>
    </row>
    <row r="4" spans="1:23" s="124" customFormat="1" ht="32.25" customHeight="1" x14ac:dyDescent="0.25">
      <c r="A4" s="357" t="s">
        <v>162</v>
      </c>
      <c r="B4" s="358"/>
      <c r="C4" s="358"/>
      <c r="D4" s="358"/>
      <c r="E4" s="358"/>
      <c r="F4" s="358"/>
      <c r="G4" s="358"/>
      <c r="H4" s="358"/>
      <c r="I4" s="358"/>
      <c r="J4" s="358"/>
      <c r="K4" s="358"/>
      <c r="L4" s="133"/>
      <c r="T4" s="117"/>
      <c r="U4" s="117"/>
      <c r="V4" s="117"/>
      <c r="W4" s="117"/>
    </row>
    <row r="5" spans="1:23" s="124" customFormat="1" ht="15.75" customHeight="1" x14ac:dyDescent="0.25">
      <c r="A5" s="357" t="s">
        <v>163</v>
      </c>
      <c r="B5" s="358"/>
      <c r="C5" s="358"/>
      <c r="D5" s="358"/>
      <c r="E5" s="358"/>
      <c r="F5" s="358"/>
      <c r="G5" s="358"/>
      <c r="H5" s="358"/>
      <c r="I5" s="358"/>
      <c r="J5" s="358"/>
      <c r="K5" s="358"/>
      <c r="L5" s="133"/>
      <c r="T5" s="117"/>
      <c r="U5" s="117"/>
      <c r="V5" s="117"/>
      <c r="W5" s="117"/>
    </row>
    <row r="6" spans="1:23" ht="12" customHeight="1" thickBot="1" x14ac:dyDescent="0.3">
      <c r="A6" s="367"/>
      <c r="B6" s="368"/>
      <c r="C6" s="368"/>
      <c r="D6" s="368"/>
      <c r="E6" s="368"/>
      <c r="F6" s="368"/>
      <c r="G6" s="368"/>
      <c r="H6" s="368"/>
      <c r="I6" s="368"/>
      <c r="J6" s="368"/>
      <c r="K6" s="368"/>
      <c r="L6" s="132"/>
    </row>
    <row r="7" spans="1:23" s="141" customFormat="1" ht="20.25" customHeight="1" thickBot="1" x14ac:dyDescent="0.35">
      <c r="A7" s="134" t="s">
        <v>21</v>
      </c>
      <c r="B7" s="135"/>
      <c r="C7" s="136" t="s">
        <v>22</v>
      </c>
      <c r="D7" s="137"/>
      <c r="E7" s="137"/>
      <c r="F7" s="138"/>
      <c r="G7" s="234"/>
      <c r="H7" s="234"/>
      <c r="I7" s="139"/>
      <c r="J7" s="139"/>
      <c r="K7" s="139"/>
      <c r="L7" s="140"/>
      <c r="M7" s="142"/>
      <c r="N7" s="142"/>
      <c r="O7" s="142"/>
      <c r="P7" s="142"/>
      <c r="Q7" s="142"/>
      <c r="R7" s="142"/>
      <c r="S7" s="142"/>
    </row>
    <row r="8" spans="1:23" s="124" customFormat="1" ht="18" customHeight="1" x14ac:dyDescent="0.25">
      <c r="A8" s="8" t="s">
        <v>3</v>
      </c>
      <c r="B8" s="143"/>
      <c r="C8" s="144" t="s">
        <v>19</v>
      </c>
      <c r="D8" s="145"/>
      <c r="E8" s="363"/>
      <c r="F8" s="364"/>
      <c r="G8" s="235"/>
      <c r="H8" s="235"/>
      <c r="I8" s="146"/>
      <c r="J8" s="146"/>
      <c r="K8" s="146"/>
      <c r="L8" s="133"/>
      <c r="T8" s="117"/>
      <c r="U8" s="117"/>
      <c r="V8" s="117"/>
      <c r="W8" s="117"/>
    </row>
    <row r="9" spans="1:23" s="124" customFormat="1" ht="18" customHeight="1" x14ac:dyDescent="0.25">
      <c r="A9" s="5" t="s">
        <v>11</v>
      </c>
      <c r="B9" s="147"/>
      <c r="C9" s="359" t="s">
        <v>20</v>
      </c>
      <c r="D9" s="360"/>
      <c r="E9" s="365"/>
      <c r="F9" s="366"/>
      <c r="G9" s="236"/>
      <c r="H9" s="236"/>
      <c r="I9" s="148"/>
      <c r="J9" s="148"/>
      <c r="K9" s="148"/>
      <c r="L9" s="133"/>
      <c r="T9" s="117"/>
      <c r="U9" s="117"/>
      <c r="V9" s="117"/>
      <c r="W9" s="117"/>
    </row>
    <row r="10" spans="1:23" s="124" customFormat="1" ht="18" customHeight="1" x14ac:dyDescent="0.25">
      <c r="A10" s="5" t="s">
        <v>12</v>
      </c>
      <c r="B10" s="147"/>
      <c r="C10" s="359" t="s">
        <v>32</v>
      </c>
      <c r="D10" s="360"/>
      <c r="E10" s="361"/>
      <c r="F10" s="362"/>
      <c r="G10" s="235"/>
      <c r="H10" s="235"/>
      <c r="I10" s="146"/>
      <c r="J10" s="146"/>
      <c r="K10" s="146"/>
      <c r="L10" s="133"/>
      <c r="T10" s="117"/>
      <c r="U10" s="117"/>
      <c r="V10" s="117"/>
      <c r="W10" s="117"/>
    </row>
    <row r="11" spans="1:23" s="124" customFormat="1" ht="18" customHeight="1" x14ac:dyDescent="0.25">
      <c r="A11" s="5" t="s">
        <v>4</v>
      </c>
      <c r="B11" s="147"/>
      <c r="C11" s="359" t="s">
        <v>17</v>
      </c>
      <c r="D11" s="360"/>
      <c r="E11" s="361"/>
      <c r="F11" s="362"/>
      <c r="G11" s="235"/>
      <c r="H11" s="235"/>
      <c r="I11" s="146"/>
      <c r="J11" s="146"/>
      <c r="K11" s="146"/>
      <c r="L11" s="133"/>
      <c r="T11" s="117"/>
      <c r="U11" s="117"/>
      <c r="V11" s="117"/>
      <c r="W11" s="117"/>
    </row>
    <row r="12" spans="1:23" s="124" customFormat="1" ht="18" customHeight="1" x14ac:dyDescent="0.25">
      <c r="A12" s="5" t="s">
        <v>5</v>
      </c>
      <c r="B12" s="147"/>
      <c r="C12" s="37" t="s">
        <v>16</v>
      </c>
      <c r="D12" s="38"/>
      <c r="E12" s="361"/>
      <c r="F12" s="362"/>
      <c r="G12" s="235"/>
      <c r="H12" s="235"/>
      <c r="I12" s="146"/>
      <c r="J12" s="146"/>
      <c r="K12" s="146"/>
      <c r="L12" s="133"/>
      <c r="M12" s="128"/>
      <c r="N12" s="150"/>
      <c r="O12" s="150"/>
      <c r="T12" s="117"/>
      <c r="U12" s="117"/>
      <c r="V12" s="117"/>
      <c r="W12" s="117"/>
    </row>
    <row r="13" spans="1:23" s="124" customFormat="1" ht="18" customHeight="1" x14ac:dyDescent="0.25">
      <c r="A13" s="5" t="s">
        <v>6</v>
      </c>
      <c r="B13" s="147"/>
      <c r="C13" s="151" t="s">
        <v>29</v>
      </c>
      <c r="D13" s="152"/>
      <c r="E13" s="361"/>
      <c r="F13" s="362"/>
      <c r="G13" s="235"/>
      <c r="H13" s="235"/>
      <c r="I13" s="146"/>
      <c r="J13" s="146"/>
      <c r="K13" s="146"/>
      <c r="L13" s="133"/>
      <c r="T13" s="117"/>
      <c r="U13" s="117"/>
      <c r="V13" s="117"/>
      <c r="W13" s="117"/>
    </row>
    <row r="14" spans="1:23" s="124" customFormat="1" ht="18" customHeight="1" x14ac:dyDescent="0.25">
      <c r="A14" s="6" t="s">
        <v>9</v>
      </c>
      <c r="B14" s="147"/>
      <c r="C14" s="10" t="s">
        <v>25</v>
      </c>
      <c r="D14" s="9"/>
      <c r="E14" s="361"/>
      <c r="F14" s="362"/>
      <c r="G14" s="235"/>
      <c r="H14" s="235"/>
      <c r="I14" s="146"/>
      <c r="J14" s="146"/>
      <c r="K14" s="146"/>
      <c r="L14" s="133"/>
      <c r="T14" s="117"/>
      <c r="U14" s="117"/>
      <c r="V14" s="117"/>
      <c r="W14" s="117"/>
    </row>
    <row r="15" spans="1:23" s="124" customFormat="1" ht="18" customHeight="1" x14ac:dyDescent="0.25">
      <c r="A15" s="5" t="s">
        <v>23</v>
      </c>
      <c r="B15" s="147"/>
      <c r="C15" s="37" t="s">
        <v>24</v>
      </c>
      <c r="D15" s="38"/>
      <c r="E15" s="361"/>
      <c r="F15" s="362"/>
      <c r="G15" s="235"/>
      <c r="H15" s="235"/>
      <c r="I15" s="146"/>
      <c r="J15" s="146"/>
      <c r="K15" s="146"/>
      <c r="L15" s="133"/>
      <c r="T15" s="117"/>
      <c r="U15" s="117"/>
      <c r="V15" s="117"/>
      <c r="W15" s="117"/>
    </row>
    <row r="16" spans="1:23" s="124" customFormat="1" ht="18" customHeight="1" x14ac:dyDescent="0.25">
      <c r="A16" s="4" t="s">
        <v>33</v>
      </c>
      <c r="B16" s="153"/>
      <c r="C16" s="359"/>
      <c r="D16" s="360"/>
      <c r="E16" s="361"/>
      <c r="F16" s="362"/>
      <c r="G16" s="235"/>
      <c r="H16" s="235"/>
      <c r="I16" s="146"/>
      <c r="J16" s="146"/>
      <c r="K16" s="146"/>
      <c r="L16" s="133"/>
      <c r="T16" s="117"/>
      <c r="U16" s="117"/>
      <c r="V16" s="117"/>
      <c r="W16" s="117"/>
    </row>
    <row r="17" spans="1:23" s="124" customFormat="1" ht="18" customHeight="1" x14ac:dyDescent="0.25">
      <c r="A17" s="154" t="s">
        <v>18</v>
      </c>
      <c r="B17" s="147"/>
      <c r="C17" s="372"/>
      <c r="D17" s="373"/>
      <c r="E17" s="374"/>
      <c r="F17" s="366"/>
      <c r="G17" s="236"/>
      <c r="H17" s="236"/>
      <c r="I17" s="148"/>
      <c r="J17" s="148"/>
      <c r="K17" s="148"/>
      <c r="L17" s="133"/>
      <c r="T17" s="117"/>
      <c r="U17" s="117"/>
      <c r="V17" s="117"/>
      <c r="W17" s="117"/>
    </row>
    <row r="18" spans="1:23" s="124" customFormat="1" ht="18" customHeight="1" x14ac:dyDescent="0.25">
      <c r="A18" s="7" t="s">
        <v>34</v>
      </c>
      <c r="B18" s="147"/>
      <c r="C18" s="372"/>
      <c r="D18" s="373"/>
      <c r="E18" s="375"/>
      <c r="F18" s="375"/>
      <c r="G18" s="236"/>
      <c r="H18" s="236"/>
      <c r="I18" s="148"/>
      <c r="J18" s="148"/>
      <c r="K18" s="148"/>
      <c r="L18" s="133"/>
      <c r="T18" s="117"/>
      <c r="U18" s="117"/>
      <c r="V18" s="117"/>
      <c r="W18" s="117"/>
    </row>
    <row r="19" spans="1:23" s="124" customFormat="1" ht="18" customHeight="1" x14ac:dyDescent="0.25">
      <c r="A19" s="7" t="s">
        <v>15</v>
      </c>
      <c r="B19" s="147"/>
      <c r="C19" s="376"/>
      <c r="D19" s="377"/>
      <c r="E19" s="375"/>
      <c r="F19" s="375"/>
      <c r="G19" s="236"/>
      <c r="H19" s="236"/>
      <c r="I19" s="148"/>
      <c r="J19" s="148"/>
      <c r="K19" s="148"/>
      <c r="L19" s="133"/>
      <c r="T19" s="117"/>
      <c r="U19" s="117"/>
      <c r="V19" s="117"/>
      <c r="W19" s="117"/>
    </row>
    <row r="20" spans="1:23" s="124" customFormat="1" ht="18" customHeight="1" x14ac:dyDescent="0.25">
      <c r="A20" s="7" t="s">
        <v>30</v>
      </c>
      <c r="B20" s="147"/>
      <c r="C20" s="376"/>
      <c r="D20" s="377"/>
      <c r="E20" s="375"/>
      <c r="F20" s="375"/>
      <c r="G20" s="236"/>
      <c r="H20" s="236"/>
      <c r="I20" s="148"/>
      <c r="J20" s="148"/>
      <c r="K20" s="148"/>
      <c r="L20" s="133"/>
      <c r="T20" s="117"/>
      <c r="U20" s="117"/>
      <c r="V20" s="117"/>
      <c r="W20" s="117"/>
    </row>
    <row r="21" spans="1:23" s="124" customFormat="1" ht="18" customHeight="1" thickBot="1" x14ac:dyDescent="0.3">
      <c r="A21" s="7" t="s">
        <v>31</v>
      </c>
      <c r="B21" s="147"/>
      <c r="C21" s="376"/>
      <c r="D21" s="377"/>
      <c r="E21" s="375"/>
      <c r="F21" s="375"/>
      <c r="G21" s="236"/>
      <c r="H21" s="236"/>
      <c r="I21" s="148"/>
      <c r="J21" s="148"/>
      <c r="K21" s="148"/>
      <c r="L21" s="133"/>
      <c r="T21" s="117"/>
      <c r="U21" s="117"/>
      <c r="V21" s="117"/>
      <c r="W21" s="117"/>
    </row>
    <row r="22" spans="1:23" s="204" customFormat="1" ht="34.5" thickBot="1" x14ac:dyDescent="0.55000000000000004">
      <c r="A22" s="381" t="s">
        <v>43</v>
      </c>
      <c r="B22" s="382"/>
      <c r="C22" s="382"/>
      <c r="D22" s="382"/>
      <c r="E22" s="382"/>
      <c r="F22" s="383"/>
      <c r="G22" s="246"/>
      <c r="H22" s="247"/>
      <c r="I22" s="205" t="s">
        <v>118</v>
      </c>
      <c r="J22" s="157">
        <v>120</v>
      </c>
      <c r="K22" s="158" t="s">
        <v>135</v>
      </c>
      <c r="L22" s="159" t="str">
        <f>IF(AND('McKesson Quote &amp; Pricing '!$E$21&lt;&gt;"Required Field",'McKesson Quote &amp; Pricing '!$E$21&lt;&gt;""),'McKesson Quote &amp; Pricing '!$E$21,"Pending")</f>
        <v>Pending</v>
      </c>
      <c r="T22" s="206"/>
      <c r="U22" s="206"/>
      <c r="V22" s="206"/>
      <c r="W22" s="206"/>
    </row>
    <row r="23" spans="1:23" s="115" customFormat="1" ht="37.5" customHeight="1" thickBot="1" x14ac:dyDescent="0.3">
      <c r="A23" s="384" t="s">
        <v>89</v>
      </c>
      <c r="B23" s="385"/>
      <c r="C23" s="385"/>
      <c r="D23" s="385"/>
      <c r="E23" s="385"/>
      <c r="F23" s="386"/>
      <c r="G23" s="248"/>
      <c r="H23" s="248"/>
      <c r="I23" s="125" t="s">
        <v>119</v>
      </c>
      <c r="J23" s="160">
        <f>IF('McKesson Quote &amp; Pricing '!E18="Yes",0.62,0.81)</f>
        <v>0.81</v>
      </c>
      <c r="K23" s="344" t="str">
        <f>IF(IFERROR(INDEX('Version and Lists'!$F:$F,MATCH(L22,'Version and Lists'!$G:$G,0)),0)&gt;0,"Extra DEA Req","")</f>
        <v/>
      </c>
      <c r="L23" s="345"/>
      <c r="T23" s="114"/>
      <c r="U23" s="114"/>
      <c r="V23" s="114"/>
      <c r="W23" s="114"/>
    </row>
    <row r="24" spans="1:23" s="115" customFormat="1" ht="33.75" customHeight="1" thickBot="1" x14ac:dyDescent="0.3">
      <c r="A24" s="378" t="s">
        <v>44</v>
      </c>
      <c r="B24" s="379"/>
      <c r="C24" s="379"/>
      <c r="D24" s="379"/>
      <c r="E24" s="379"/>
      <c r="F24" s="380"/>
      <c r="G24" s="249"/>
      <c r="H24" s="250"/>
      <c r="I24" s="126" t="s">
        <v>148</v>
      </c>
      <c r="J24" s="127">
        <f>(SUM(L29:L445)+J22)*J23</f>
        <v>97.2</v>
      </c>
      <c r="T24" s="114"/>
      <c r="U24" s="114"/>
      <c r="V24" s="114"/>
      <c r="W24" s="114"/>
    </row>
    <row r="25" spans="1:23" s="116" customFormat="1" ht="57" customHeight="1" thickBot="1" x14ac:dyDescent="0.35">
      <c r="A25" s="369" t="s">
        <v>42</v>
      </c>
      <c r="B25" s="370"/>
      <c r="C25" s="370"/>
      <c r="D25" s="371"/>
      <c r="E25" s="120" t="s">
        <v>38</v>
      </c>
      <c r="F25" s="163" t="str">
        <f>IF(J24&lt;'Tiered Pricing Chart'!A3,"Does not meet $500 minimum",VLOOKUP(J24,'Tiered Pricing Chart'!$A$3:$G$31,3))</f>
        <v>Does not meet $500 minimum</v>
      </c>
      <c r="G25" s="237" t="s">
        <v>159</v>
      </c>
      <c r="H25" s="251">
        <f>SUM(H34:H467)</f>
        <v>0</v>
      </c>
      <c r="I25" s="243" t="s">
        <v>160</v>
      </c>
      <c r="J25" s="254" t="str">
        <f>IFERROR(F25-H25,"Below Minimum")</f>
        <v>Below Minimum</v>
      </c>
      <c r="M25" s="130"/>
      <c r="N25" s="115"/>
      <c r="O25" s="115"/>
      <c r="P25" s="124"/>
      <c r="Q25" s="207"/>
      <c r="R25" s="207"/>
      <c r="S25" s="207"/>
      <c r="T25" s="208"/>
    </row>
    <row r="26" spans="1:23" s="116" customFormat="1" ht="20.25" customHeight="1" thickBot="1" x14ac:dyDescent="0.35">
      <c r="A26" s="349" t="s">
        <v>87</v>
      </c>
      <c r="B26" s="350"/>
      <c r="C26" s="350"/>
      <c r="D26" s="350"/>
      <c r="E26" s="350"/>
      <c r="F26" s="350"/>
      <c r="G26" s="239"/>
      <c r="H26" s="239"/>
      <c r="I26" s="243" t="s">
        <v>161</v>
      </c>
      <c r="J26" s="245" t="str">
        <f>IFERROR(J25/VLOOKUP('Tiered Cart Pricing Formulas'!J24,'Tiered Pricing Chart'!$A$3:$D$31,3,TRUE),"")</f>
        <v/>
      </c>
      <c r="K26" s="210"/>
      <c r="L26" s="210"/>
      <c r="M26" s="209"/>
      <c r="N26" s="115"/>
      <c r="O26" s="115"/>
      <c r="P26" s="129"/>
      <c r="Q26" s="207"/>
      <c r="R26" s="207"/>
      <c r="S26" s="207"/>
      <c r="T26" s="208"/>
    </row>
    <row r="27" spans="1:23" ht="20.25" customHeight="1" thickBot="1" x14ac:dyDescent="0.35">
      <c r="A27" s="164" t="s">
        <v>7</v>
      </c>
      <c r="B27" s="165" t="s">
        <v>0</v>
      </c>
      <c r="C27" s="165" t="s">
        <v>1</v>
      </c>
      <c r="D27" s="165" t="s">
        <v>2</v>
      </c>
      <c r="E27" s="166" t="s">
        <v>8</v>
      </c>
      <c r="F27" s="167" t="s">
        <v>28</v>
      </c>
      <c r="G27" s="240"/>
      <c r="H27" s="240"/>
      <c r="I27" s="117"/>
      <c r="J27" s="123"/>
      <c r="K27" s="117"/>
      <c r="L27" s="117"/>
      <c r="S27" s="183"/>
    </row>
    <row r="28" spans="1:23" ht="15" customHeight="1" x14ac:dyDescent="0.25">
      <c r="A28" s="168">
        <v>1</v>
      </c>
      <c r="B28" s="169" t="s">
        <v>95</v>
      </c>
      <c r="C28" s="170"/>
      <c r="D28" s="169"/>
      <c r="E28" s="171"/>
      <c r="F28" s="172">
        <v>1024730</v>
      </c>
      <c r="G28" s="240"/>
      <c r="H28" s="240"/>
      <c r="I28" s="117"/>
      <c r="J28" s="117"/>
      <c r="K28" s="117"/>
      <c r="L28" s="117"/>
      <c r="S28" s="183"/>
    </row>
    <row r="29" spans="1:23" ht="15" customHeight="1" x14ac:dyDescent="0.25">
      <c r="A29" s="168">
        <v>1</v>
      </c>
      <c r="B29" s="169" t="s">
        <v>10</v>
      </c>
      <c r="C29" s="170" t="s">
        <v>36</v>
      </c>
      <c r="D29" s="169"/>
      <c r="E29" s="171"/>
      <c r="F29" s="172">
        <v>1009251</v>
      </c>
      <c r="G29" s="240"/>
      <c r="H29" s="240"/>
      <c r="I29" s="117"/>
      <c r="J29" s="117"/>
      <c r="K29" s="117"/>
      <c r="L29" s="117"/>
      <c r="S29" s="183"/>
    </row>
    <row r="30" spans="1:23" ht="15" customHeight="1" x14ac:dyDescent="0.25">
      <c r="A30" s="173">
        <v>1</v>
      </c>
      <c r="B30" s="174" t="s">
        <v>39</v>
      </c>
      <c r="C30" s="175" t="s">
        <v>36</v>
      </c>
      <c r="D30" s="174"/>
      <c r="E30" s="176"/>
      <c r="F30" s="172"/>
      <c r="G30" s="240"/>
      <c r="H30" s="240"/>
      <c r="I30" s="117"/>
      <c r="J30" s="117"/>
      <c r="K30" s="117"/>
      <c r="L30" s="117"/>
    </row>
    <row r="31" spans="1:23" ht="15" customHeight="1" x14ac:dyDescent="0.25">
      <c r="A31" s="173">
        <v>1</v>
      </c>
      <c r="B31" s="174" t="s">
        <v>37</v>
      </c>
      <c r="C31" s="175" t="s">
        <v>36</v>
      </c>
      <c r="D31" s="174"/>
      <c r="E31" s="176"/>
      <c r="F31" s="172">
        <v>1016020</v>
      </c>
      <c r="G31" s="240"/>
      <c r="H31" s="240"/>
      <c r="I31" s="117"/>
      <c r="J31" s="117"/>
      <c r="K31" s="117"/>
      <c r="L31" s="117"/>
    </row>
    <row r="32" spans="1:23" ht="15" customHeight="1" x14ac:dyDescent="0.25">
      <c r="A32" s="346" t="s">
        <v>86</v>
      </c>
      <c r="B32" s="347"/>
      <c r="C32" s="347"/>
      <c r="D32" s="347"/>
      <c r="E32" s="347"/>
      <c r="F32" s="348"/>
      <c r="G32" s="239"/>
      <c r="H32" s="239"/>
      <c r="I32" s="124"/>
      <c r="J32" s="124"/>
      <c r="K32" s="124"/>
      <c r="L32" s="124"/>
      <c r="M32" s="177" t="s">
        <v>144</v>
      </c>
      <c r="N32" s="177" t="s">
        <v>145</v>
      </c>
      <c r="O32" s="177" t="s">
        <v>146</v>
      </c>
    </row>
    <row r="33" spans="1:19" ht="15" customHeight="1" x14ac:dyDescent="0.25">
      <c r="A33" s="178" t="s">
        <v>7</v>
      </c>
      <c r="B33" s="178" t="s">
        <v>0</v>
      </c>
      <c r="C33" s="178" t="s">
        <v>1</v>
      </c>
      <c r="D33" s="178" t="s">
        <v>2</v>
      </c>
      <c r="E33" s="179" t="s">
        <v>8</v>
      </c>
      <c r="F33" s="211" t="s">
        <v>28</v>
      </c>
      <c r="G33" s="252" t="s">
        <v>157</v>
      </c>
      <c r="H33" s="253" t="s">
        <v>158</v>
      </c>
      <c r="I33" s="212" t="s">
        <v>63</v>
      </c>
      <c r="J33" s="212" t="s">
        <v>142</v>
      </c>
      <c r="K33" s="212" t="s">
        <v>143</v>
      </c>
      <c r="L33" s="203"/>
      <c r="M33" s="213">
        <f>COUNTIFS(M34:M264,"C")</f>
        <v>7</v>
      </c>
      <c r="N33" s="213">
        <f>COUNTIFS(N34:N264,"X")</f>
        <v>11</v>
      </c>
      <c r="O33" s="213">
        <f>COUNTIFS(O34:O264,"X")</f>
        <v>1</v>
      </c>
      <c r="P33" s="183" t="s">
        <v>79</v>
      </c>
      <c r="Q33" s="184" t="s">
        <v>124</v>
      </c>
      <c r="R33" s="184" t="s">
        <v>125</v>
      </c>
      <c r="S33" s="183" t="s">
        <v>147</v>
      </c>
    </row>
    <row r="34" spans="1:19" ht="15" customHeight="1" x14ac:dyDescent="0.3">
      <c r="A34" s="185">
        <f>INDEX('McKesson Formulary Calculator'!$A$12:$A$434,MATCH(F34,'McKesson Formulary Calculator'!$F$12:$F$434,0))</f>
        <v>0</v>
      </c>
      <c r="B34" s="186" t="str">
        <f>INDEX('Pricing (Drugs) SS'!$B:$B,MATCH(F34,'Pricing (Drugs) SS'!$A:$A,0))</f>
        <v>ADENOSINE INJECTION, USP 6mg/2mL (3mg/mL) 2mL VIAL</v>
      </c>
      <c r="C34" s="187" t="str">
        <f>INDEX('Pricing (Drugs) SS'!$E:$E,MATCH(F34,'Pricing (Drugs) SS'!$A:$A,0))</f>
        <v>3mg/mL</v>
      </c>
      <c r="D34" s="188" t="str">
        <f>INDEX('Pricing (Drugs) SS'!$F:$F,MATCH(F34,'Pricing (Drugs) SS'!$A:$A,0))</f>
        <v>2mL</v>
      </c>
      <c r="E34" s="188" t="str">
        <f>INDEX('Pricing (Drugs) SS'!$D:$D,MATCH(F34,'Pricing (Drugs) SS'!$A:$A,0))</f>
        <v>63323-651-02</v>
      </c>
      <c r="F34" s="189">
        <v>1020490</v>
      </c>
      <c r="G34" s="241">
        <f>INDEX('Pricing (Drugs) SS'!$I:$I,MATCH(F34,'Pricing (Drugs) SS'!$A:$A,0))</f>
        <v>10.95</v>
      </c>
      <c r="H34" s="241">
        <f>A34*G34</f>
        <v>0</v>
      </c>
      <c r="I34" s="191">
        <f>VLOOKUP(F34,'Price Sheet'!$A:$C,3,FALSE)</f>
        <v>32.950000000000003</v>
      </c>
      <c r="J34" s="191"/>
      <c r="K34" s="192">
        <f t="shared" ref="K34:K65" si="0">J34+I34</f>
        <v>32.950000000000003</v>
      </c>
      <c r="L34" s="192">
        <f t="shared" ref="L34:L89" si="1">IFERROR(K34*A34,"")</f>
        <v>0</v>
      </c>
      <c r="M34" s="193" t="str">
        <f>IF(AND(Q34&lt;&gt;"Drug Room",Q34&lt;&gt;"SAFE- CONTROLLED"),"C","")</f>
        <v/>
      </c>
      <c r="N34" s="194" t="str">
        <f>IF(R34&lt;&gt;"Not on List","X","")</f>
        <v/>
      </c>
      <c r="O34" s="194" t="str">
        <f>IF(Q34="Safe- Controlled","X","")</f>
        <v/>
      </c>
      <c r="P34" s="124" t="str">
        <f>INDEX('Pricing (Drugs) SS'!$C:$C,MATCH(F34,'Pricing (Drugs) SS'!$A:$A,0))</f>
        <v>ACTIVE</v>
      </c>
      <c r="Q34" s="124" t="str">
        <f>IF(AND($K$23="Extra DEA Req",S34="X"),"SAFE- CONTROLLED",INDEX('Pricing (Drugs) SS'!$G:$G,MATCH(F34,'Pricing (Drugs) SS'!$A:$A,0)))</f>
        <v>DRUG ROOM</v>
      </c>
      <c r="R34" s="195" t="str">
        <f>INDEX('Pricing (Drugs) SS'!$H:$H,MATCH(F34,'Pricing (Drugs) SS'!$A:$A,0))</f>
        <v>Not on List</v>
      </c>
      <c r="S34" s="124" t="str">
        <f>IF(COUNTIFS('Version and Lists'!$F:$F,F34,'Version and Lists'!$G:$G,$L$22)&gt;0,"X","")</f>
        <v/>
      </c>
    </row>
    <row r="35" spans="1:19" ht="15" customHeight="1" x14ac:dyDescent="0.3">
      <c r="A35" s="185">
        <v>0</v>
      </c>
      <c r="B35" s="186" t="str">
        <f>INDEX('Pricing (Drugs) SS'!$B:$B,MATCH(F35,'Pricing (Drugs) SS'!$A:$A,0))</f>
        <v>ADENOSINE INJECTION, USP 12mg/4mL (3mg/mL) 4mL VIAL</v>
      </c>
      <c r="C35" s="187" t="str">
        <f>INDEX('Pricing (Drugs) SS'!$E:$E,MATCH(F35,'Pricing (Drugs) SS'!$A:$A,0))</f>
        <v>3mg/mL</v>
      </c>
      <c r="D35" s="188" t="str">
        <f>INDEX('Pricing (Drugs) SS'!$F:$F,MATCH(F35,'Pricing (Drugs) SS'!$A:$A,0))</f>
        <v>4mL</v>
      </c>
      <c r="E35" s="188" t="str">
        <f>INDEX('Pricing (Drugs) SS'!$D:$D,MATCH(F35,'Pricing (Drugs) SS'!$A:$A,0))</f>
        <v>63323-651-04</v>
      </c>
      <c r="F35" s="189">
        <v>1012700</v>
      </c>
      <c r="G35" s="241">
        <f>INDEX('Pricing (Drugs) SS'!$I:$I,MATCH(F35,'Pricing (Drugs) SS'!$A:$A,0))</f>
        <v>24.97</v>
      </c>
      <c r="H35" s="241">
        <f t="shared" ref="H35:H98" si="2">A35*G35</f>
        <v>0</v>
      </c>
      <c r="I35" s="191">
        <f>VLOOKUP(F35,'Price Sheet'!$A:$C,3,FALSE)</f>
        <v>59.99</v>
      </c>
      <c r="J35" s="191"/>
      <c r="K35" s="192">
        <f t="shared" si="0"/>
        <v>59.99</v>
      </c>
      <c r="L35" s="192">
        <f t="shared" si="1"/>
        <v>0</v>
      </c>
      <c r="M35" s="193" t="str">
        <f t="shared" ref="M35:M98" si="3">IF(AND(Q35&lt;&gt;"Drug Room",Q35&lt;&gt;"SAFE- CONTROLLED"),"C","")</f>
        <v/>
      </c>
      <c r="N35" s="194" t="str">
        <f t="shared" ref="N35:N97" si="4">IF(R35&lt;&gt;"Not on List","X","")</f>
        <v/>
      </c>
      <c r="O35" s="194" t="str">
        <f t="shared" ref="O35:O98" si="5">IF(Q35="Safe- Controlled","X","")</f>
        <v/>
      </c>
      <c r="P35" s="124" t="str">
        <f>INDEX('Pricing (Drugs) SS'!$C:$C,MATCH(F35,'Pricing (Drugs) SS'!$A:$A,0))</f>
        <v>ACTIVE</v>
      </c>
      <c r="Q35" s="124" t="str">
        <f>IF(AND($K$23="Extra DEA Req",S35="X"),"SAFE- CONTROLLED",INDEX('Pricing (Drugs) SS'!$G:$G,MATCH(F35,'Pricing (Drugs) SS'!$A:$A,0)))</f>
        <v>DRUG ROOM</v>
      </c>
      <c r="R35" s="195" t="str">
        <f>INDEX('Pricing (Drugs) SS'!$H:$H,MATCH(F35,'Pricing (Drugs) SS'!$A:$A,0))</f>
        <v>Not on List</v>
      </c>
      <c r="S35" s="124" t="str">
        <f>IF(COUNTIFS('Version and Lists'!$F:$F,F35,'Version and Lists'!$G:$G,$L$22)&gt;0,"X","")</f>
        <v/>
      </c>
    </row>
    <row r="36" spans="1:19" ht="15" customHeight="1" x14ac:dyDescent="0.3">
      <c r="A36" s="185">
        <f>INDEX('McKesson Formulary Calculator'!$A$12:$A$434,MATCH(F36,'McKesson Formulary Calculator'!$F$12:$F$434,0))</f>
        <v>0</v>
      </c>
      <c r="B36" s="186" t="str">
        <f>INDEX('Pricing (Drugs) SS'!$B:$B,MATCH(F36,'Pricing (Drugs) SS'!$A:$A,0))</f>
        <v>ADENOSINE INJECTION, USP 12mg PER 4mL (3mg PER mL) 4mL SYR</v>
      </c>
      <c r="C36" s="187" t="str">
        <f>INDEX('Pricing (Drugs) SS'!$E:$E,MATCH(F36,'Pricing (Drugs) SS'!$A:$A,0))</f>
        <v>3mg/mL</v>
      </c>
      <c r="D36" s="188" t="str">
        <f>INDEX('Pricing (Drugs) SS'!$F:$F,MATCH(F36,'Pricing (Drugs) SS'!$A:$A,0))</f>
        <v>4mL</v>
      </c>
      <c r="E36" s="188" t="str">
        <f>INDEX('Pricing (Drugs) SS'!$D:$D,MATCH(F36,'Pricing (Drugs) SS'!$A:$A,0))</f>
        <v>63323-651-90</v>
      </c>
      <c r="F36" s="189">
        <v>1021740</v>
      </c>
      <c r="G36" s="241">
        <f>INDEX('Pricing (Drugs) SS'!$I:$I,MATCH(F36,'Pricing (Drugs) SS'!$A:$A,0))</f>
        <v>25.9</v>
      </c>
      <c r="H36" s="241">
        <f t="shared" si="2"/>
        <v>0</v>
      </c>
      <c r="I36" s="191">
        <f>VLOOKUP(F36,'Price Sheet'!$A:$C,3,FALSE)</f>
        <v>87.99</v>
      </c>
      <c r="J36" s="191"/>
      <c r="K36" s="192">
        <f t="shared" si="0"/>
        <v>87.99</v>
      </c>
      <c r="L36" s="192">
        <f t="shared" si="1"/>
        <v>0</v>
      </c>
      <c r="M36" s="193" t="str">
        <f t="shared" si="3"/>
        <v/>
      </c>
      <c r="N36" s="194" t="str">
        <f t="shared" si="4"/>
        <v/>
      </c>
      <c r="O36" s="194" t="str">
        <f t="shared" si="5"/>
        <v/>
      </c>
      <c r="P36" s="124" t="str">
        <f>INDEX('Pricing (Drugs) SS'!$C:$C,MATCH(F36,'Pricing (Drugs) SS'!$A:$A,0))</f>
        <v>ACTIVE</v>
      </c>
      <c r="Q36" s="124" t="str">
        <f>IF(AND($K$23="Extra DEA Req",S36="X"),"SAFE- CONTROLLED",INDEX('Pricing (Drugs) SS'!$G:$G,MATCH(F36,'Pricing (Drugs) SS'!$A:$A,0)))</f>
        <v>DRUG ROOM</v>
      </c>
      <c r="R36" s="195" t="str">
        <f>INDEX('Pricing (Drugs) SS'!$H:$H,MATCH(F36,'Pricing (Drugs) SS'!$A:$A,0))</f>
        <v>Not on List</v>
      </c>
      <c r="S36" s="124" t="str">
        <f>IF(COUNTIFS('Version and Lists'!$F:$F,F36,'Version and Lists'!$G:$G,$L$22)&gt;0,"X","")</f>
        <v/>
      </c>
    </row>
    <row r="37" spans="1:19" ht="15" customHeight="1" x14ac:dyDescent="0.3">
      <c r="A37" s="185">
        <f>INDEX('McKesson Formulary Calculator'!$A$12:$A$434,MATCH(F37,'McKesson Formulary Calculator'!$F$12:$F$434,0))</f>
        <v>0</v>
      </c>
      <c r="B37" s="186" t="str">
        <f>INDEX('Pricing (Drugs) SS'!$B:$B,MATCH(F37,'Pricing (Drugs) SS'!$A:$A,0))</f>
        <v>VENTOLIN® HFA (ALBUTEROL SULFATE) 90mcg BOXED</v>
      </c>
      <c r="C37" s="187" t="str">
        <f>INDEX('Pricing (Drugs) SS'!$E:$E,MATCH(F37,'Pricing (Drugs) SS'!$A:$A,0))</f>
        <v>90mcg</v>
      </c>
      <c r="D37" s="188" t="str">
        <f>INDEX('Pricing (Drugs) SS'!$F:$F,MATCH(F37,'Pricing (Drugs) SS'!$A:$A,0))</f>
        <v>8gm</v>
      </c>
      <c r="E37" s="188" t="str">
        <f>INDEX('Pricing (Drugs) SS'!$D:$D,MATCH(F37,'Pricing (Drugs) SS'!$A:$A,0))</f>
        <v>0173-0682-24</v>
      </c>
      <c r="F37" s="189">
        <v>1000700</v>
      </c>
      <c r="G37" s="241">
        <f>INDEX('Pricing (Drugs) SS'!$I:$I,MATCH(F37,'Pricing (Drugs) SS'!$A:$A,0))</f>
        <v>22.72</v>
      </c>
      <c r="H37" s="241">
        <f>A37*G37</f>
        <v>0</v>
      </c>
      <c r="I37" s="191">
        <f>VLOOKUP(F37,'Price Sheet'!$A:$C,3,FALSE)</f>
        <v>114.95</v>
      </c>
      <c r="J37" s="191"/>
      <c r="K37" s="192">
        <f t="shared" si="0"/>
        <v>114.95</v>
      </c>
      <c r="L37" s="192">
        <f t="shared" si="1"/>
        <v>0</v>
      </c>
      <c r="M37" s="193" t="str">
        <f t="shared" si="3"/>
        <v/>
      </c>
      <c r="N37" s="194" t="str">
        <f t="shared" si="4"/>
        <v/>
      </c>
      <c r="O37" s="194" t="str">
        <f t="shared" si="5"/>
        <v/>
      </c>
      <c r="P37" s="124" t="str">
        <f>INDEX('Pricing (Drugs) SS'!$C:$C,MATCH(F37,'Pricing (Drugs) SS'!$A:$A,0))</f>
        <v>ACTIVE</v>
      </c>
      <c r="Q37" s="124" t="str">
        <f>IF(AND($K$23="Extra DEA Req",S37="X"),"SAFE- CONTROLLED",INDEX('Pricing (Drugs) SS'!$G:$G,MATCH(F37,'Pricing (Drugs) SS'!$A:$A,0)))</f>
        <v>DRUG ROOM</v>
      </c>
      <c r="R37" s="195" t="str">
        <f>INDEX('Pricing (Drugs) SS'!$H:$H,MATCH(F37,'Pricing (Drugs) SS'!$A:$A,0))</f>
        <v>Not on List</v>
      </c>
      <c r="S37" s="124" t="str">
        <f>IF(COUNTIFS('Version and Lists'!$F:$F,F37,'Version and Lists'!$G:$G,$L$22)&gt;0,"X","")</f>
        <v/>
      </c>
    </row>
    <row r="38" spans="1:19" ht="15" customHeight="1" x14ac:dyDescent="0.3">
      <c r="A38" s="185">
        <f>INDEX('McKesson Formulary Calculator'!$A$12:$A$434,MATCH(F38,'McKesson Formulary Calculator'!$F$12:$F$434,0))</f>
        <v>0</v>
      </c>
      <c r="B38" s="186" t="str">
        <f>INDEX('Pricing (Drugs) SS'!$B:$B,MATCH(F38,'Pricing (Drugs) SS'!$A:$A,0))</f>
        <v>AMINOPHYLLINE INJECTION, USP 250mg (25mg/mL) 10mL VIAL</v>
      </c>
      <c r="C38" s="187" t="str">
        <f>INDEX('Pricing (Drugs) SS'!$E:$E,MATCH(F38,'Pricing (Drugs) SS'!$A:$A,0))</f>
        <v>25mg/mL</v>
      </c>
      <c r="D38" s="188" t="str">
        <f>INDEX('Pricing (Drugs) SS'!$F:$F,MATCH(F38,'Pricing (Drugs) SS'!$A:$A,0))</f>
        <v>10mL</v>
      </c>
      <c r="E38" s="188" t="str">
        <f>INDEX('Pricing (Drugs) SS'!$D:$D,MATCH(F38,'Pricing (Drugs) SS'!$A:$A,0))</f>
        <v>0409-5921-01</v>
      </c>
      <c r="F38" s="189">
        <v>1000050</v>
      </c>
      <c r="G38" s="241">
        <f>INDEX('Pricing (Drugs) SS'!$I:$I,MATCH(F38,'Pricing (Drugs) SS'!$A:$A,0))</f>
        <v>24.1828</v>
      </c>
      <c r="H38" s="241">
        <f t="shared" si="2"/>
        <v>0</v>
      </c>
      <c r="I38" s="191">
        <f>VLOOKUP(F38,'Price Sheet'!$A:$C,3,FALSE)</f>
        <v>49.95</v>
      </c>
      <c r="J38" s="191"/>
      <c r="K38" s="192">
        <f t="shared" si="0"/>
        <v>49.95</v>
      </c>
      <c r="L38" s="192">
        <f t="shared" si="1"/>
        <v>0</v>
      </c>
      <c r="M38" s="193" t="str">
        <f t="shared" si="3"/>
        <v/>
      </c>
      <c r="N38" s="194" t="str">
        <f t="shared" si="4"/>
        <v/>
      </c>
      <c r="O38" s="194" t="str">
        <f t="shared" si="5"/>
        <v/>
      </c>
      <c r="P38" s="124" t="str">
        <f>INDEX('Pricing (Drugs) SS'!$C:$C,MATCH(F38,'Pricing (Drugs) SS'!$A:$A,0))</f>
        <v>ACTIVE</v>
      </c>
      <c r="Q38" s="124" t="str">
        <f>IF(AND($K$23="Extra DEA Req",S38="X"),"SAFE- CONTROLLED",INDEX('Pricing (Drugs) SS'!$G:$G,MATCH(F38,'Pricing (Drugs) SS'!$A:$A,0)))</f>
        <v>DRUG ROOM</v>
      </c>
      <c r="R38" s="195" t="str">
        <f>INDEX('Pricing (Drugs) SS'!$H:$H,MATCH(F38,'Pricing (Drugs) SS'!$A:$A,0))</f>
        <v>Not on List</v>
      </c>
      <c r="S38" s="124" t="str">
        <f>IF(COUNTIFS('Version and Lists'!$F:$F,F38,'Version and Lists'!$G:$G,$L$22)&gt;0,"X","")</f>
        <v/>
      </c>
    </row>
    <row r="39" spans="1:19" ht="15" customHeight="1" x14ac:dyDescent="0.3">
      <c r="A39" s="185">
        <f>INDEX('McKesson Formulary Calculator'!$A$12:$A$434,MATCH(F39,'McKesson Formulary Calculator'!$F$12:$F$434,0))</f>
        <v>0</v>
      </c>
      <c r="B39" s="186" t="str">
        <f>INDEX('Pricing (Drugs) SS'!$B:$B,MATCH(F39,'Pricing (Drugs) SS'!$A:$A,0))</f>
        <v>AMINOPHYLLINE INJ., USP 500mg (25mg/mL) 20mL VIAL</v>
      </c>
      <c r="C39" s="187" t="str">
        <f>INDEX('Pricing (Drugs) SS'!$E:$E,MATCH(F39,'Pricing (Drugs) SS'!$A:$A,0))</f>
        <v>25mg/mL</v>
      </c>
      <c r="D39" s="188" t="str">
        <f>INDEX('Pricing (Drugs) SS'!$F:$F,MATCH(F39,'Pricing (Drugs) SS'!$A:$A,0))</f>
        <v>20mL</v>
      </c>
      <c r="E39" s="188" t="str">
        <f>INDEX('Pricing (Drugs) SS'!$D:$D,MATCH(F39,'Pricing (Drugs) SS'!$A:$A,0))</f>
        <v>0409-5922-01</v>
      </c>
      <c r="F39" s="189">
        <v>1010140</v>
      </c>
      <c r="G39" s="241">
        <f>INDEX('Pricing (Drugs) SS'!$I:$I,MATCH(F39,'Pricing (Drugs) SS'!$A:$A,0))</f>
        <v>15.5608</v>
      </c>
      <c r="H39" s="241">
        <f t="shared" si="2"/>
        <v>0</v>
      </c>
      <c r="I39" s="191">
        <f>VLOOKUP(F39,'Price Sheet'!$A:$C,3,FALSE)</f>
        <v>53.95</v>
      </c>
      <c r="J39" s="191"/>
      <c r="K39" s="192">
        <f t="shared" si="0"/>
        <v>53.95</v>
      </c>
      <c r="L39" s="192">
        <f t="shared" si="1"/>
        <v>0</v>
      </c>
      <c r="M39" s="193" t="str">
        <f t="shared" si="3"/>
        <v/>
      </c>
      <c r="N39" s="194" t="str">
        <f t="shared" si="4"/>
        <v/>
      </c>
      <c r="O39" s="194" t="str">
        <f t="shared" si="5"/>
        <v/>
      </c>
      <c r="P39" s="124" t="str">
        <f>INDEX('Pricing (Drugs) SS'!$C:$C,MATCH(F39,'Pricing (Drugs) SS'!$A:$A,0))</f>
        <v>ACTIVE</v>
      </c>
      <c r="Q39" s="124" t="str">
        <f>IF(AND($K$23="Extra DEA Req",S39="X"),"SAFE- CONTROLLED",INDEX('Pricing (Drugs) SS'!$G:$G,MATCH(F39,'Pricing (Drugs) SS'!$A:$A,0)))</f>
        <v>DRUG ROOM</v>
      </c>
      <c r="R39" s="195" t="str">
        <f>INDEX('Pricing (Drugs) SS'!$H:$H,MATCH(F39,'Pricing (Drugs) SS'!$A:$A,0))</f>
        <v>Not on List</v>
      </c>
      <c r="S39" s="124" t="str">
        <f>IF(COUNTIFS('Version and Lists'!$F:$F,F39,'Version and Lists'!$G:$G,$L$22)&gt;0,"X","")</f>
        <v/>
      </c>
    </row>
    <row r="40" spans="1:19" ht="15" customHeight="1" x14ac:dyDescent="0.3">
      <c r="A40" s="185">
        <f>INDEX('McKesson Formulary Calculator'!$A$12:$A$434,MATCH(F40,'McKesson Formulary Calculator'!$F$12:$F$434,0))</f>
        <v>0</v>
      </c>
      <c r="B40" s="186" t="str">
        <f>INDEX('Pricing (Drugs) SS'!$B:$B,MATCH(F40,'Pricing (Drugs) SS'!$A:$A,0))</f>
        <v>AMIODARONE HYDROCHLORIDE INJECTION 150mg/3mL (50mg/mL) VIAL</v>
      </c>
      <c r="C40" s="187" t="str">
        <f>INDEX('Pricing (Drugs) SS'!$E:$E,MATCH(F40,'Pricing (Drugs) SS'!$A:$A,0))</f>
        <v>50mg/mL</v>
      </c>
      <c r="D40" s="188" t="str">
        <f>INDEX('Pricing (Drugs) SS'!$F:$F,MATCH(F40,'Pricing (Drugs) SS'!$A:$A,0))</f>
        <v>3mL</v>
      </c>
      <c r="E40" s="188" t="str">
        <f>INDEX('Pricing (Drugs) SS'!$D:$D,MATCH(F40,'Pricing (Drugs) SS'!$A:$A,0))</f>
        <v>0143-9875-25</v>
      </c>
      <c r="F40" s="189">
        <v>1000060</v>
      </c>
      <c r="G40" s="241">
        <f>INDEX('Pricing (Drugs) SS'!$I:$I,MATCH(F40,'Pricing (Drugs) SS'!$A:$A,0))</f>
        <v>2</v>
      </c>
      <c r="H40" s="241">
        <f t="shared" si="2"/>
        <v>0</v>
      </c>
      <c r="I40" s="191">
        <f>VLOOKUP(F40,'Price Sheet'!$A:$C,3,FALSE)</f>
        <v>19.45</v>
      </c>
      <c r="J40" s="191"/>
      <c r="K40" s="192">
        <f t="shared" si="0"/>
        <v>19.45</v>
      </c>
      <c r="L40" s="192">
        <f t="shared" si="1"/>
        <v>0</v>
      </c>
      <c r="M40" s="193" t="str">
        <f t="shared" si="3"/>
        <v/>
      </c>
      <c r="N40" s="194" t="str">
        <f t="shared" si="4"/>
        <v/>
      </c>
      <c r="O40" s="194" t="str">
        <f t="shared" si="5"/>
        <v/>
      </c>
      <c r="P40" s="124" t="str">
        <f>INDEX('Pricing (Drugs) SS'!$C:$C,MATCH(F40,'Pricing (Drugs) SS'!$A:$A,0))</f>
        <v>ACTIVE</v>
      </c>
      <c r="Q40" s="124" t="str">
        <f>IF(AND($K$23="Extra DEA Req",S40="X"),"SAFE- CONTROLLED",INDEX('Pricing (Drugs) SS'!$G:$G,MATCH(F40,'Pricing (Drugs) SS'!$A:$A,0)))</f>
        <v>DRUG ROOM</v>
      </c>
      <c r="R40" s="195" t="str">
        <f>INDEX('Pricing (Drugs) SS'!$H:$H,MATCH(F40,'Pricing (Drugs) SS'!$A:$A,0))</f>
        <v>Not on List</v>
      </c>
      <c r="S40" s="124" t="str">
        <f>IF(COUNTIFS('Version and Lists'!$F:$F,F40,'Version and Lists'!$G:$G,$L$22)&gt;0,"X","")</f>
        <v/>
      </c>
    </row>
    <row r="41" spans="1:19" s="196" customFormat="1" ht="15" customHeight="1" x14ac:dyDescent="0.3">
      <c r="A41" s="185">
        <f>INDEX('McKesson Formulary Calculator'!$A$12:$A$434,MATCH(F41,'McKesson Formulary Calculator'!$F$12:$F$434,0))</f>
        <v>0</v>
      </c>
      <c r="B41" s="186" t="str">
        <f>INDEX('Pricing (Drugs) SS'!$B:$B,MATCH(F41,'Pricing (Drugs) SS'!$A:$A,0))</f>
        <v>AMIODARONE HYDROCHLORIDE INJECTION 900mg/18mL (50mg/mL) 18mL VIAL</v>
      </c>
      <c r="C41" s="187" t="str">
        <f>INDEX('Pricing (Drugs) SS'!$E:$E,MATCH(F41,'Pricing (Drugs) SS'!$A:$A,0))</f>
        <v>50mg/mL</v>
      </c>
      <c r="D41" s="188" t="str">
        <f>INDEX('Pricing (Drugs) SS'!$F:$F,MATCH(F41,'Pricing (Drugs) SS'!$A:$A,0))</f>
        <v>18mL</v>
      </c>
      <c r="E41" s="188" t="str">
        <f>INDEX('Pricing (Drugs) SS'!$D:$D,MATCH(F41,'Pricing (Drugs) SS'!$A:$A,0))</f>
        <v>67457-0153-18</v>
      </c>
      <c r="F41" s="189">
        <v>1011280</v>
      </c>
      <c r="G41" s="241">
        <f>INDEX('Pricing (Drugs) SS'!$I:$I,MATCH(F41,'Pricing (Drugs) SS'!$A:$A,0))</f>
        <v>18.010000000000002</v>
      </c>
      <c r="H41" s="241">
        <f t="shared" si="2"/>
        <v>0</v>
      </c>
      <c r="I41" s="191">
        <f>VLOOKUP(F41,'Price Sheet'!$A:$C,3,FALSE)</f>
        <v>54.99</v>
      </c>
      <c r="J41" s="191"/>
      <c r="K41" s="192">
        <f t="shared" si="0"/>
        <v>54.99</v>
      </c>
      <c r="L41" s="192">
        <f t="shared" si="1"/>
        <v>0</v>
      </c>
      <c r="M41" s="193" t="str">
        <f t="shared" si="3"/>
        <v/>
      </c>
      <c r="N41" s="194" t="str">
        <f t="shared" si="4"/>
        <v/>
      </c>
      <c r="O41" s="194" t="str">
        <f t="shared" si="5"/>
        <v/>
      </c>
      <c r="P41" s="124" t="str">
        <f>INDEX('Pricing (Drugs) SS'!$C:$C,MATCH(F41,'Pricing (Drugs) SS'!$A:$A,0))</f>
        <v>ACTIVE</v>
      </c>
      <c r="Q41" s="124" t="str">
        <f>IF(AND($K$23="Extra DEA Req",S41="X"),"SAFE- CONTROLLED",INDEX('Pricing (Drugs) SS'!$G:$G,MATCH(F41,'Pricing (Drugs) SS'!$A:$A,0)))</f>
        <v>DRUG ROOM</v>
      </c>
      <c r="R41" s="195" t="str">
        <f>INDEX('Pricing (Drugs) SS'!$H:$H,MATCH(F41,'Pricing (Drugs) SS'!$A:$A,0))</f>
        <v>Not on List</v>
      </c>
      <c r="S41" s="124" t="str">
        <f>IF(COUNTIFS('Version and Lists'!$F:$F,F41,'Version and Lists'!$G:$G,$L$22)&gt;0,"X","")</f>
        <v/>
      </c>
    </row>
    <row r="42" spans="1:19" ht="15" customHeight="1" x14ac:dyDescent="0.3">
      <c r="A42" s="185">
        <f>INDEX('McKesson Formulary Calculator'!$A$12:$A$434,MATCH(F42,'McKesson Formulary Calculator'!$F$12:$F$434,0))</f>
        <v>0</v>
      </c>
      <c r="B42" s="186" t="str">
        <f>INDEX('Pricing (Drugs) SS'!$B:$B,MATCH(F42,'Pricing (Drugs) SS'!$A:$A,0))</f>
        <v>NEXTERONE (AMIODARONE HCI) PREMIXED INJECTION 360mg/200mL (1.8mg/mL) 200mL BAG</v>
      </c>
      <c r="C42" s="187" t="str">
        <f>INDEX('Pricing (Drugs) SS'!$E:$E,MATCH(F42,'Pricing (Drugs) SS'!$A:$A,0))</f>
        <v>1.8mg/mL</v>
      </c>
      <c r="D42" s="188" t="str">
        <f>INDEX('Pricing (Drugs) SS'!$F:$F,MATCH(F42,'Pricing (Drugs) SS'!$A:$A,0))</f>
        <v>200mL</v>
      </c>
      <c r="E42" s="188" t="str">
        <f>INDEX('Pricing (Drugs) SS'!$D:$D,MATCH(F42,'Pricing (Drugs) SS'!$A:$A,0))</f>
        <v>43066-360-20</v>
      </c>
      <c r="F42" s="189">
        <v>1013010</v>
      </c>
      <c r="G42" s="241">
        <f>INDEX('Pricing (Drugs) SS'!$I:$I,MATCH(F42,'Pricing (Drugs) SS'!$A:$A,0))</f>
        <v>49.613</v>
      </c>
      <c r="H42" s="241">
        <f t="shared" si="2"/>
        <v>0</v>
      </c>
      <c r="I42" s="191">
        <f>VLOOKUP(F42,'Price Sheet'!$A:$C,3,FALSE)</f>
        <v>129.94999999999999</v>
      </c>
      <c r="J42" s="191"/>
      <c r="K42" s="192">
        <f t="shared" si="0"/>
        <v>129.94999999999999</v>
      </c>
      <c r="L42" s="192">
        <f t="shared" si="1"/>
        <v>0</v>
      </c>
      <c r="M42" s="193" t="str">
        <f t="shared" si="3"/>
        <v/>
      </c>
      <c r="N42" s="194" t="str">
        <f t="shared" si="4"/>
        <v/>
      </c>
      <c r="O42" s="194" t="str">
        <f t="shared" si="5"/>
        <v/>
      </c>
      <c r="P42" s="124" t="str">
        <f>INDEX('Pricing (Drugs) SS'!$C:$C,MATCH(F42,'Pricing (Drugs) SS'!$A:$A,0))</f>
        <v>ACTIVE</v>
      </c>
      <c r="Q42" s="124" t="str">
        <f>IF(AND($K$23="Extra DEA Req",S42="X"),"SAFE- CONTROLLED",INDEX('Pricing (Drugs) SS'!$G:$G,MATCH(F42,'Pricing (Drugs) SS'!$A:$A,0)))</f>
        <v>DRUG ROOM</v>
      </c>
      <c r="R42" s="195" t="str">
        <f>INDEX('Pricing (Drugs) SS'!$H:$H,MATCH(F42,'Pricing (Drugs) SS'!$A:$A,0))</f>
        <v>Not on List</v>
      </c>
      <c r="S42" s="124" t="str">
        <f>IF(COUNTIFS('Version and Lists'!$F:$F,F42,'Version and Lists'!$G:$G,$L$22)&gt;0,"X","")</f>
        <v/>
      </c>
    </row>
    <row r="43" spans="1:19" ht="15" customHeight="1" x14ac:dyDescent="0.3">
      <c r="A43" s="185">
        <f>INDEX('McKesson Formulary Calculator'!$A$12:$A$434,MATCH(F43,'McKesson Formulary Calculator'!$F$12:$F$434,0))</f>
        <v>0</v>
      </c>
      <c r="B43" s="186" t="str">
        <f>INDEX('Pricing (Drugs) SS'!$B:$B,MATCH(F43,'Pricing (Drugs) SS'!$A:$A,0))</f>
        <v>ASPIRIN (NSAID) 325mg 2 TABLET (2 PACKS)</v>
      </c>
      <c r="C43" s="187" t="str">
        <f>INDEX('Pricing (Drugs) SS'!$E:$E,MATCH(F43,'Pricing (Drugs) SS'!$A:$A,0))</f>
        <v>325mg</v>
      </c>
      <c r="D43" s="188" t="str">
        <f>INDEX('Pricing (Drugs) SS'!$F:$F,MATCH(F43,'Pricing (Drugs) SS'!$A:$A,0))</f>
        <v>2 tablets</v>
      </c>
      <c r="E43" s="188" t="str">
        <f>INDEX('Pricing (Drugs) SS'!$D:$D,MATCH(F43,'Pricing (Drugs) SS'!$A:$A,0))</f>
        <v>0924-0104-01</v>
      </c>
      <c r="F43" s="189">
        <v>1017600</v>
      </c>
      <c r="G43" s="241">
        <f>INDEX('Pricing (Drugs) SS'!$I:$I,MATCH(F43,'Pricing (Drugs) SS'!$A:$A,0))</f>
        <v>0.156</v>
      </c>
      <c r="H43" s="241">
        <f t="shared" si="2"/>
        <v>0</v>
      </c>
      <c r="I43" s="191">
        <f>VLOOKUP(F43,'Price Sheet'!$A:$C,3,FALSE)</f>
        <v>4.75</v>
      </c>
      <c r="J43" s="191"/>
      <c r="K43" s="192">
        <f t="shared" si="0"/>
        <v>4.75</v>
      </c>
      <c r="L43" s="192">
        <f>IFERROR(K43*A43,"")</f>
        <v>0</v>
      </c>
      <c r="M43" s="193" t="str">
        <f t="shared" si="3"/>
        <v/>
      </c>
      <c r="N43" s="194" t="str">
        <f t="shared" si="4"/>
        <v/>
      </c>
      <c r="O43" s="194" t="str">
        <f t="shared" si="5"/>
        <v/>
      </c>
      <c r="P43" s="124" t="str">
        <f>INDEX('Pricing (Drugs) SS'!$C:$C,MATCH(F43,'Pricing (Drugs) SS'!$A:$A,0))</f>
        <v>RESTRICTED</v>
      </c>
      <c r="Q43" s="124" t="str">
        <f>IF(AND($K$23="Extra DEA Req",S43="X"),"SAFE- CONTROLLED",INDEX('Pricing (Drugs) SS'!$G:$G,MATCH(F43,'Pricing (Drugs) SS'!$A:$A,0)))</f>
        <v>DRUG ROOM</v>
      </c>
      <c r="R43" s="195" t="str">
        <f>INDEX('Pricing (Drugs) SS'!$H:$H,MATCH(F43,'Pricing (Drugs) SS'!$A:$A,0))</f>
        <v>Not on List</v>
      </c>
      <c r="S43" s="124" t="str">
        <f>IF(COUNTIFS('Version and Lists'!$F:$F,F43,'Version and Lists'!$G:$G,$L$22)&gt;0,"X","")</f>
        <v/>
      </c>
    </row>
    <row r="44" spans="1:19" ht="15" customHeight="1" x14ac:dyDescent="0.3">
      <c r="A44" s="185">
        <f>INDEX('McKesson Formulary Calculator'!$A$12:$A$434,MATCH(F44,'McKesson Formulary Calculator'!$F$12:$F$434,0))</f>
        <v>0</v>
      </c>
      <c r="B44" s="186" t="str">
        <f>INDEX('Pricing (Drugs) SS'!$B:$B,MATCH(F44,'Pricing (Drugs) SS'!$A:$A,0))</f>
        <v>ASPIRIN LOW DOSE CHEWABLE ORANGE PAIN RELIEVER (NSAID) 81mg 90/bt</v>
      </c>
      <c r="C44" s="187" t="str">
        <f>INDEX('Pricing (Drugs) SS'!$E:$E,MATCH(F44,'Pricing (Drugs) SS'!$A:$A,0))</f>
        <v>81mg</v>
      </c>
      <c r="D44" s="188" t="str">
        <f>INDEX('Pricing (Drugs) SS'!$F:$F,MATCH(F44,'Pricing (Drugs) SS'!$A:$A,0))</f>
        <v>TAB</v>
      </c>
      <c r="E44" s="188" t="str">
        <f>INDEX('Pricing (Drugs) SS'!$D:$D,MATCH(F44,'Pricing (Drugs) SS'!$A:$A,0))</f>
        <v>0904-6794-89</v>
      </c>
      <c r="F44" s="189">
        <v>1010220</v>
      </c>
      <c r="G44" s="241">
        <f>INDEX('Pricing (Drugs) SS'!$I:$I,MATCH(F44,'Pricing (Drugs) SS'!$A:$A,0))</f>
        <v>1.29</v>
      </c>
      <c r="H44" s="241">
        <f t="shared" si="2"/>
        <v>0</v>
      </c>
      <c r="I44" s="191">
        <f>VLOOKUP(F44,'Price Sheet'!$A:$C,3,FALSE)</f>
        <v>6.95</v>
      </c>
      <c r="J44" s="191"/>
      <c r="K44" s="192">
        <f t="shared" si="0"/>
        <v>6.95</v>
      </c>
      <c r="L44" s="192">
        <f t="shared" si="1"/>
        <v>0</v>
      </c>
      <c r="M44" s="193" t="str">
        <f t="shared" si="3"/>
        <v/>
      </c>
      <c r="N44" s="194" t="str">
        <f t="shared" si="4"/>
        <v/>
      </c>
      <c r="O44" s="194" t="str">
        <f t="shared" si="5"/>
        <v/>
      </c>
      <c r="P44" s="124" t="str">
        <f>INDEX('Pricing (Drugs) SS'!$C:$C,MATCH(F44,'Pricing (Drugs) SS'!$A:$A,0))</f>
        <v>ACTIVE</v>
      </c>
      <c r="Q44" s="124" t="str">
        <f>IF(AND($K$23="Extra DEA Req",S44="X"),"SAFE- CONTROLLED",INDEX('Pricing (Drugs) SS'!$G:$G,MATCH(F44,'Pricing (Drugs) SS'!$A:$A,0)))</f>
        <v>DRUG ROOM</v>
      </c>
      <c r="R44" s="195" t="str">
        <f>INDEX('Pricing (Drugs) SS'!$H:$H,MATCH(F44,'Pricing (Drugs) SS'!$A:$A,0))</f>
        <v>Not on List</v>
      </c>
      <c r="S44" s="124" t="str">
        <f>IF(COUNTIFS('Version and Lists'!$F:$F,F44,'Version and Lists'!$G:$G,$L$22)&gt;0,"X","")</f>
        <v/>
      </c>
    </row>
    <row r="45" spans="1:19" ht="15" customHeight="1" x14ac:dyDescent="0.3">
      <c r="A45" s="185">
        <f>INDEX('McKesson Formulary Calculator'!$A$12:$A$434,MATCH(F45,'McKesson Formulary Calculator'!$F$12:$F$434,0))</f>
        <v>0</v>
      </c>
      <c r="B45" s="186" t="str">
        <f>INDEX('Pricing (Drugs) SS'!$B:$B,MATCH(F45,'Pricing (Drugs) SS'!$A:$A,0))</f>
        <v>ASPIRIN (NSAID) 325mg EACH 100 TABLETS</v>
      </c>
      <c r="C45" s="187" t="str">
        <f>INDEX('Pricing (Drugs) SS'!$E:$E,MATCH(F45,'Pricing (Drugs) SS'!$A:$A,0))</f>
        <v>325 mg</v>
      </c>
      <c r="D45" s="188" t="str">
        <f>INDEX('Pricing (Drugs) SS'!$F:$F,MATCH(F45,'Pricing (Drugs) SS'!$A:$A,0))</f>
        <v>100 TABLETS</v>
      </c>
      <c r="E45" s="188" t="str">
        <f>INDEX('Pricing (Drugs) SS'!$D:$D,MATCH(F45,'Pricing (Drugs) SS'!$A:$A,0))</f>
        <v>0536-1054-29</v>
      </c>
      <c r="F45" s="189">
        <v>1013230</v>
      </c>
      <c r="G45" s="241">
        <f>INDEX('Pricing (Drugs) SS'!$I:$I,MATCH(F45,'Pricing (Drugs) SS'!$A:$A,0))</f>
        <v>1.31</v>
      </c>
      <c r="H45" s="241">
        <f t="shared" si="2"/>
        <v>0</v>
      </c>
      <c r="I45" s="191">
        <f>VLOOKUP(F45,'Price Sheet'!$A:$C,3,FALSE)</f>
        <v>3.99</v>
      </c>
      <c r="J45" s="191"/>
      <c r="K45" s="192">
        <f t="shared" si="0"/>
        <v>3.99</v>
      </c>
      <c r="L45" s="192">
        <f t="shared" si="1"/>
        <v>0</v>
      </c>
      <c r="M45" s="193" t="str">
        <f t="shared" si="3"/>
        <v/>
      </c>
      <c r="N45" s="194" t="str">
        <f t="shared" si="4"/>
        <v/>
      </c>
      <c r="O45" s="194" t="str">
        <f t="shared" si="5"/>
        <v/>
      </c>
      <c r="P45" s="124" t="str">
        <f>INDEX('Pricing (Drugs) SS'!$C:$C,MATCH(F45,'Pricing (Drugs) SS'!$A:$A,0))</f>
        <v>ACTIVE</v>
      </c>
      <c r="Q45" s="124" t="str">
        <f>IF(AND($K$23="Extra DEA Req",S45="X"),"SAFE- CONTROLLED",INDEX('Pricing (Drugs) SS'!$G:$G,MATCH(F45,'Pricing (Drugs) SS'!$A:$A,0)))</f>
        <v>DRUG ROOM</v>
      </c>
      <c r="R45" s="195" t="str">
        <f>INDEX('Pricing (Drugs) SS'!$H:$H,MATCH(F45,'Pricing (Drugs) SS'!$A:$A,0))</f>
        <v>Not on List</v>
      </c>
      <c r="S45" s="124" t="str">
        <f>IF(COUNTIFS('Version and Lists'!$F:$F,F45,'Version and Lists'!$G:$G,$L$22)&gt;0,"X","")</f>
        <v/>
      </c>
    </row>
    <row r="46" spans="1:19" ht="15" customHeight="1" x14ac:dyDescent="0.3">
      <c r="A46" s="185">
        <f>INDEX('McKesson Formulary Calculator'!$A$12:$A$434,MATCH(F46,'McKesson Formulary Calculator'!$F$12:$F$434,0))</f>
        <v>0</v>
      </c>
      <c r="B46" s="186" t="str">
        <f>INDEX('Pricing (Drugs) SS'!$B:$B,MATCH(F46,'Pricing (Drugs) SS'!$A:$A,0))</f>
        <v>ATROPINE SULFATE INJECTION, USP 0.4mg/mL 1mL VIAL</v>
      </c>
      <c r="C46" s="187" t="str">
        <f>INDEX('Pricing (Drugs) SS'!$E:$E,MATCH(F46,'Pricing (Drugs) SS'!$A:$A,0))</f>
        <v>0.4mg/mL</v>
      </c>
      <c r="D46" s="188" t="str">
        <f>INDEX('Pricing (Drugs) SS'!$F:$F,MATCH(F46,'Pricing (Drugs) SS'!$A:$A,0))</f>
        <v>1mL</v>
      </c>
      <c r="E46" s="188" t="str">
        <f>INDEX('Pricing (Drugs) SS'!$D:$D,MATCH(F46,'Pricing (Drugs) SS'!$A:$A,0))</f>
        <v>0517-1004-25</v>
      </c>
      <c r="F46" s="189">
        <v>1019410</v>
      </c>
      <c r="G46" s="241">
        <f>INDEX('Pricing (Drugs) SS'!$I:$I,MATCH(F46,'Pricing (Drugs) SS'!$A:$A,0))</f>
        <v>5.4391999999999996</v>
      </c>
      <c r="H46" s="241">
        <f t="shared" si="2"/>
        <v>0</v>
      </c>
      <c r="I46" s="191">
        <f>VLOOKUP(F46,'Price Sheet'!$A:$C,3,FALSE)</f>
        <v>32.61</v>
      </c>
      <c r="J46" s="191"/>
      <c r="K46" s="192">
        <f t="shared" si="0"/>
        <v>32.61</v>
      </c>
      <c r="L46" s="192">
        <f t="shared" si="1"/>
        <v>0</v>
      </c>
      <c r="M46" s="193" t="str">
        <f t="shared" si="3"/>
        <v/>
      </c>
      <c r="N46" s="194" t="str">
        <f t="shared" si="4"/>
        <v/>
      </c>
      <c r="O46" s="194" t="str">
        <f t="shared" si="5"/>
        <v/>
      </c>
      <c r="P46" s="124" t="str">
        <f>INDEX('Pricing (Drugs) SS'!$C:$C,MATCH(F46,'Pricing (Drugs) SS'!$A:$A,0))</f>
        <v>ACTIVE</v>
      </c>
      <c r="Q46" s="124" t="str">
        <f>IF(AND($K$23="Extra DEA Req",S46="X"),"SAFE- CONTROLLED",INDEX('Pricing (Drugs) SS'!$G:$G,MATCH(F46,'Pricing (Drugs) SS'!$A:$A,0)))</f>
        <v>DRUG ROOM</v>
      </c>
      <c r="R46" s="195" t="str">
        <f>INDEX('Pricing (Drugs) SS'!$H:$H,MATCH(F46,'Pricing (Drugs) SS'!$A:$A,0))</f>
        <v>Not on List</v>
      </c>
      <c r="S46" s="124" t="str">
        <f>IF(COUNTIFS('Version and Lists'!$F:$F,F46,'Version and Lists'!$G:$G,$L$22)&gt;0,"X","")</f>
        <v/>
      </c>
    </row>
    <row r="47" spans="1:19" ht="15" customHeight="1" x14ac:dyDescent="0.3">
      <c r="A47" s="185">
        <f>INDEX('McKesson Formulary Calculator'!$A$12:$A$434,MATCH(F47,'McKesson Formulary Calculator'!$F$12:$F$434,0))</f>
        <v>0</v>
      </c>
      <c r="B47" s="186" t="str">
        <f>INDEX('Pricing (Drugs) SS'!$B:$B,MATCH(F47,'Pricing (Drugs) SS'!$A:$A,0))</f>
        <v>ATROPINE SULFATE INJECTION, USP 1mg/mL 1mL VIAL</v>
      </c>
      <c r="C47" s="187" t="str">
        <f>INDEX('Pricing (Drugs) SS'!$E:$E,MATCH(F47,'Pricing (Drugs) SS'!$A:$A,0))</f>
        <v>1mg/mL</v>
      </c>
      <c r="D47" s="188" t="str">
        <f>INDEX('Pricing (Drugs) SS'!$F:$F,MATCH(F47,'Pricing (Drugs) SS'!$A:$A,0))</f>
        <v>1mL</v>
      </c>
      <c r="E47" s="188" t="str">
        <f>INDEX('Pricing (Drugs) SS'!$D:$D,MATCH(F47,'Pricing (Drugs) SS'!$A:$A,0))</f>
        <v>0517-1001-25</v>
      </c>
      <c r="F47" s="189">
        <v>1019400</v>
      </c>
      <c r="G47" s="241">
        <f>INDEX('Pricing (Drugs) SS'!$I:$I,MATCH(F47,'Pricing (Drugs) SS'!$A:$A,0))</f>
        <v>15.26</v>
      </c>
      <c r="H47" s="241">
        <f t="shared" si="2"/>
        <v>0</v>
      </c>
      <c r="I47" s="191">
        <f>VLOOKUP(F47,'Price Sheet'!$A:$C,3,FALSE)</f>
        <v>49.95</v>
      </c>
      <c r="J47" s="191"/>
      <c r="K47" s="192">
        <f t="shared" si="0"/>
        <v>49.95</v>
      </c>
      <c r="L47" s="192">
        <f t="shared" si="1"/>
        <v>0</v>
      </c>
      <c r="M47" s="193" t="str">
        <f t="shared" si="3"/>
        <v/>
      </c>
      <c r="N47" s="194" t="str">
        <f t="shared" si="4"/>
        <v/>
      </c>
      <c r="O47" s="194" t="str">
        <f t="shared" si="5"/>
        <v/>
      </c>
      <c r="P47" s="124" t="str">
        <f>INDEX('Pricing (Drugs) SS'!$C:$C,MATCH(F47,'Pricing (Drugs) SS'!$A:$A,0))</f>
        <v>ACTIVE</v>
      </c>
      <c r="Q47" s="124" t="str">
        <f>IF(AND($K$23="Extra DEA Req",S47="X"),"SAFE- CONTROLLED",INDEX('Pricing (Drugs) SS'!$G:$G,MATCH(F47,'Pricing (Drugs) SS'!$A:$A,0)))</f>
        <v>DRUG ROOM</v>
      </c>
      <c r="R47" s="195" t="str">
        <f>INDEX('Pricing (Drugs) SS'!$H:$H,MATCH(F47,'Pricing (Drugs) SS'!$A:$A,0))</f>
        <v>Not on List</v>
      </c>
      <c r="S47" s="124" t="str">
        <f>IF(COUNTIFS('Version and Lists'!$F:$F,F47,'Version and Lists'!$G:$G,$L$22)&gt;0,"X","")</f>
        <v/>
      </c>
    </row>
    <row r="48" spans="1:19" ht="15" customHeight="1" x14ac:dyDescent="0.3">
      <c r="A48" s="185">
        <f>INDEX('McKesson Formulary Calculator'!$A$12:$A$434,MATCH(F48,'McKesson Formulary Calculator'!$F$12:$F$434,0))</f>
        <v>0</v>
      </c>
      <c r="B48" s="186" t="str">
        <f>INDEX('Pricing (Drugs) SS'!$B:$B,MATCH(F48,'Pricing (Drugs) SS'!$A:$A,0))</f>
        <v>ATROPINE SULFATE INJECTION, USP 8mg/20mL (0.4mg/mL) 20mL VIAL</v>
      </c>
      <c r="C48" s="187" t="str">
        <f>INDEX('Pricing (Drugs) SS'!$E:$E,MATCH(F48,'Pricing (Drugs) SS'!$A:$A,0))</f>
        <v>0.4 mg/mL</v>
      </c>
      <c r="D48" s="188" t="str">
        <f>INDEX('Pricing (Drugs) SS'!$F:$F,MATCH(F48,'Pricing (Drugs) SS'!$A:$A,0))</f>
        <v>20mL</v>
      </c>
      <c r="E48" s="188" t="str">
        <f>INDEX('Pricing (Drugs) SS'!$D:$D,MATCH(F48,'Pricing (Drugs) SS'!$A:$A,0))</f>
        <v>0641-6251-10</v>
      </c>
      <c r="F48" s="189">
        <v>1019420</v>
      </c>
      <c r="G48" s="241">
        <f>INDEX('Pricing (Drugs) SS'!$I:$I,MATCH(F48,'Pricing (Drugs) SS'!$A:$A,0))</f>
        <v>9.5879999999999992</v>
      </c>
      <c r="H48" s="241">
        <f t="shared" si="2"/>
        <v>0</v>
      </c>
      <c r="I48" s="191">
        <f>VLOOKUP(F48,'Price Sheet'!$A:$C,3,FALSE)</f>
        <v>61.02</v>
      </c>
      <c r="J48" s="191"/>
      <c r="K48" s="192">
        <f t="shared" si="0"/>
        <v>61.02</v>
      </c>
      <c r="L48" s="192">
        <f t="shared" si="1"/>
        <v>0</v>
      </c>
      <c r="M48" s="193" t="str">
        <f t="shared" si="3"/>
        <v/>
      </c>
      <c r="N48" s="194" t="str">
        <f t="shared" si="4"/>
        <v/>
      </c>
      <c r="O48" s="194" t="str">
        <f t="shared" si="5"/>
        <v/>
      </c>
      <c r="P48" s="124" t="str">
        <f>INDEX('Pricing (Drugs) SS'!$C:$C,MATCH(F48,'Pricing (Drugs) SS'!$A:$A,0))</f>
        <v>ACTIVE</v>
      </c>
      <c r="Q48" s="124" t="str">
        <f>IF(AND($K$23="Extra DEA Req",S48="X"),"SAFE- CONTROLLED",INDEX('Pricing (Drugs) SS'!$G:$G,MATCH(F48,'Pricing (Drugs) SS'!$A:$A,0)))</f>
        <v>DRUG ROOM</v>
      </c>
      <c r="R48" s="195" t="str">
        <f>INDEX('Pricing (Drugs) SS'!$H:$H,MATCH(F48,'Pricing (Drugs) SS'!$A:$A,0))</f>
        <v>Not on List</v>
      </c>
      <c r="S48" s="124" t="str">
        <f>IF(COUNTIFS('Version and Lists'!$F:$F,F48,'Version and Lists'!$G:$G,$L$22)&gt;0,"X","")</f>
        <v/>
      </c>
    </row>
    <row r="49" spans="1:19" ht="15" customHeight="1" x14ac:dyDescent="0.3">
      <c r="A49" s="185">
        <f>INDEX('McKesson Formulary Calculator'!$A$12:$A$434,MATCH(F49,'McKesson Formulary Calculator'!$F$12:$F$434,0))</f>
        <v>0</v>
      </c>
      <c r="B49" s="186" t="str">
        <f>INDEX('Pricing (Drugs) SS'!$B:$B,MATCH(F49,'Pricing (Drugs) SS'!$A:$A,0))</f>
        <v>ATROPINE SULFATE INJECTION, USP 1mg/10mL (0.1mg/mL) 10mL SYR</v>
      </c>
      <c r="C49" s="187" t="str">
        <f>INDEX('Pricing (Drugs) SS'!$E:$E,MATCH(F49,'Pricing (Drugs) SS'!$A:$A,0))</f>
        <v>0.1mg/mL</v>
      </c>
      <c r="D49" s="188" t="str">
        <f>INDEX('Pricing (Drugs) SS'!$F:$F,MATCH(F49,'Pricing (Drugs) SS'!$A:$A,0))</f>
        <v>10mL</v>
      </c>
      <c r="E49" s="188" t="str">
        <f>INDEX('Pricing (Drugs) SS'!$D:$D,MATCH(F49,'Pricing (Drugs) SS'!$A:$A,0))</f>
        <v>76329-3340-1</v>
      </c>
      <c r="F49" s="189">
        <v>1015780</v>
      </c>
      <c r="G49" s="241">
        <f>INDEX('Pricing (Drugs) SS'!$I:$I,MATCH(F49,'Pricing (Drugs) SS'!$A:$A,0))</f>
        <v>11.45</v>
      </c>
      <c r="H49" s="241">
        <f t="shared" si="2"/>
        <v>0</v>
      </c>
      <c r="I49" s="191">
        <f>VLOOKUP(F49,'Price Sheet'!$A:$C,3,FALSE)</f>
        <v>53.95</v>
      </c>
      <c r="J49" s="191"/>
      <c r="K49" s="192">
        <f t="shared" si="0"/>
        <v>53.95</v>
      </c>
      <c r="L49" s="192">
        <f t="shared" si="1"/>
        <v>0</v>
      </c>
      <c r="M49" s="193" t="str">
        <f t="shared" si="3"/>
        <v/>
      </c>
      <c r="N49" s="194" t="str">
        <f t="shared" si="4"/>
        <v/>
      </c>
      <c r="O49" s="194" t="str">
        <f t="shared" si="5"/>
        <v/>
      </c>
      <c r="P49" s="124" t="str">
        <f>INDEX('Pricing (Drugs) SS'!$C:$C,MATCH(F49,'Pricing (Drugs) SS'!$A:$A,0))</f>
        <v>ACTIVE</v>
      </c>
      <c r="Q49" s="124" t="str">
        <f>IF(AND($K$23="Extra DEA Req",S49="X"),"SAFE- CONTROLLED",INDEX('Pricing (Drugs) SS'!$G:$G,MATCH(F49,'Pricing (Drugs) SS'!$A:$A,0)))</f>
        <v>DRUG ROOM</v>
      </c>
      <c r="R49" s="195" t="str">
        <f>INDEX('Pricing (Drugs) SS'!$H:$H,MATCH(F49,'Pricing (Drugs) SS'!$A:$A,0))</f>
        <v>Not on List</v>
      </c>
      <c r="S49" s="124" t="str">
        <f>IF(COUNTIFS('Version and Lists'!$F:$F,F49,'Version and Lists'!$G:$G,$L$22)&gt;0,"X","")</f>
        <v/>
      </c>
    </row>
    <row r="50" spans="1:19" ht="15" customHeight="1" x14ac:dyDescent="0.3">
      <c r="A50" s="185">
        <f>INDEX('McKesson Formulary Calculator'!$A$12:$A$434,MATCH(F50,'McKesson Formulary Calculator'!$F$12:$F$434,0))</f>
        <v>0</v>
      </c>
      <c r="B50" s="186" t="str">
        <f>INDEX('Pricing (Drugs) SS'!$B:$B,MATCH(F50,'Pricing (Drugs) SS'!$A:$A,0))</f>
        <v>SENSORCAINE(R) (BUPIVACAINE HCI AND EPINEPHRINE INJECTION, USP) WITH EPINEPHRINE 1:200,000 (AS BITARTRATE) 0.25% 125mg per 50mL (2.5mg per mL) 50mL VIAL</v>
      </c>
      <c r="C50" s="187" t="str">
        <f>INDEX('Pricing (Drugs) SS'!$E:$E,MATCH(F50,'Pricing (Drugs) SS'!$A:$A,0))</f>
        <v>2.5mg/mL</v>
      </c>
      <c r="D50" s="188" t="str">
        <f>INDEX('Pricing (Drugs) SS'!$F:$F,MATCH(F50,'Pricing (Drugs) SS'!$A:$A,0))</f>
        <v>50mL</v>
      </c>
      <c r="E50" s="188" t="str">
        <f>INDEX('Pricing (Drugs) SS'!$D:$D,MATCH(F50,'Pricing (Drugs) SS'!$A:$A,0))</f>
        <v>63323-461-57</v>
      </c>
      <c r="F50" s="189">
        <v>1012080</v>
      </c>
      <c r="G50" s="241">
        <f>INDEX('Pricing (Drugs) SS'!$I:$I,MATCH(F50,'Pricing (Drugs) SS'!$A:$A,0))</f>
        <v>19.399999999999999</v>
      </c>
      <c r="H50" s="241">
        <f t="shared" si="2"/>
        <v>0</v>
      </c>
      <c r="I50" s="191">
        <f>VLOOKUP(F50,'Price Sheet'!$A:$C,3,FALSE)</f>
        <v>45.95</v>
      </c>
      <c r="J50" s="191"/>
      <c r="K50" s="192">
        <f t="shared" si="0"/>
        <v>45.95</v>
      </c>
      <c r="L50" s="192">
        <f t="shared" si="1"/>
        <v>0</v>
      </c>
      <c r="M50" s="193" t="str">
        <f t="shared" si="3"/>
        <v/>
      </c>
      <c r="N50" s="194" t="str">
        <f t="shared" si="4"/>
        <v/>
      </c>
      <c r="O50" s="194" t="str">
        <f t="shared" si="5"/>
        <v/>
      </c>
      <c r="P50" s="124" t="str">
        <f>INDEX('Pricing (Drugs) SS'!$C:$C,MATCH(F50,'Pricing (Drugs) SS'!$A:$A,0))</f>
        <v>ACTIVE</v>
      </c>
      <c r="Q50" s="124" t="str">
        <f>IF(AND($K$23="Extra DEA Req",S50="X"),"SAFE- CONTROLLED",INDEX('Pricing (Drugs) SS'!$G:$G,MATCH(F50,'Pricing (Drugs) SS'!$A:$A,0)))</f>
        <v>DRUG ROOM</v>
      </c>
      <c r="R50" s="195" t="str">
        <f>INDEX('Pricing (Drugs) SS'!$H:$H,MATCH(F50,'Pricing (Drugs) SS'!$A:$A,0))</f>
        <v>Not on List</v>
      </c>
      <c r="S50" s="124" t="str">
        <f>IF(COUNTIFS('Version and Lists'!$F:$F,F50,'Version and Lists'!$G:$G,$L$22)&gt;0,"X","")</f>
        <v/>
      </c>
    </row>
    <row r="51" spans="1:19" ht="15" customHeight="1" x14ac:dyDescent="0.3">
      <c r="A51" s="185">
        <f>INDEX('McKesson Formulary Calculator'!$A$12:$A$434,MATCH(F51,'McKesson Formulary Calculator'!$F$12:$F$434,0))</f>
        <v>0</v>
      </c>
      <c r="B51" s="186" t="str">
        <f>INDEX('Pricing (Drugs) SS'!$B:$B,MATCH(F51,'Pricing (Drugs) SS'!$A:$A,0))</f>
        <v>0.5% BUPIVACAINE HYDROCHLORIDE INJECTION, USP (5 mg/mL) 50 mL MDV</v>
      </c>
      <c r="C51" s="187" t="str">
        <f>INDEX('Pricing (Drugs) SS'!$E:$E,MATCH(F51,'Pricing (Drugs) SS'!$A:$A,0))</f>
        <v>5mg/mL</v>
      </c>
      <c r="D51" s="188" t="str">
        <f>INDEX('Pricing (Drugs) SS'!$F:$F,MATCH(F51,'Pricing (Drugs) SS'!$A:$A,0))</f>
        <v>50 mL</v>
      </c>
      <c r="E51" s="188" t="str">
        <f>INDEX('Pricing (Drugs) SS'!$D:$D,MATCH(F51,'Pricing (Drugs) SS'!$A:$A,0))</f>
        <v>0409-1163-01</v>
      </c>
      <c r="F51" s="189">
        <v>1011870</v>
      </c>
      <c r="G51" s="241">
        <f>INDEX('Pricing (Drugs) SS'!$I:$I,MATCH(F51,'Pricing (Drugs) SS'!$A:$A,0))</f>
        <v>2.66</v>
      </c>
      <c r="H51" s="241">
        <f t="shared" si="2"/>
        <v>0</v>
      </c>
      <c r="I51" s="191">
        <f>VLOOKUP(F51,'Price Sheet'!$A:$C,3,FALSE)</f>
        <v>9.1999999999999993</v>
      </c>
      <c r="J51" s="191"/>
      <c r="K51" s="192">
        <f t="shared" si="0"/>
        <v>9.1999999999999993</v>
      </c>
      <c r="L51" s="192">
        <f t="shared" si="1"/>
        <v>0</v>
      </c>
      <c r="M51" s="193" t="str">
        <f t="shared" si="3"/>
        <v/>
      </c>
      <c r="N51" s="194" t="str">
        <f t="shared" si="4"/>
        <v/>
      </c>
      <c r="O51" s="194" t="str">
        <f t="shared" si="5"/>
        <v/>
      </c>
      <c r="P51" s="124" t="str">
        <f>INDEX('Pricing (Drugs) SS'!$C:$C,MATCH(F51,'Pricing (Drugs) SS'!$A:$A,0))</f>
        <v>ACTIVE</v>
      </c>
      <c r="Q51" s="124" t="str">
        <f>IF(AND($K$23="Extra DEA Req",S51="X"),"SAFE- CONTROLLED",INDEX('Pricing (Drugs) SS'!$G:$G,MATCH(F51,'Pricing (Drugs) SS'!$A:$A,0)))</f>
        <v>DRUG ROOM</v>
      </c>
      <c r="R51" s="195" t="str">
        <f>INDEX('Pricing (Drugs) SS'!$H:$H,MATCH(F51,'Pricing (Drugs) SS'!$A:$A,0))</f>
        <v>Not on List</v>
      </c>
      <c r="S51" s="124" t="str">
        <f>IF(COUNTIFS('Version and Lists'!$F:$F,F51,'Version and Lists'!$G:$G,$L$22)&gt;0,"X","")</f>
        <v/>
      </c>
    </row>
    <row r="52" spans="1:19" ht="15" customHeight="1" x14ac:dyDescent="0.3">
      <c r="A52" s="185">
        <f>INDEX('McKesson Formulary Calculator'!$A$12:$A$434,MATCH(F52,'McKesson Formulary Calculator'!$F$12:$F$434,0))</f>
        <v>0</v>
      </c>
      <c r="B52" s="186" t="str">
        <f>INDEX('Pricing (Drugs) SS'!$B:$B,MATCH(F52,'Pricing (Drugs) SS'!$A:$A,0))</f>
        <v>SENSORCAINE(R) (BUPIVACAINE HCI AND EPINEPHRINE INJECTION, USP) WITH EPINEPHRINE 1:200,000 (AS BITARTRATE) 0.5% 250mg per 50mL (5mg per mL) 50mL VIAL</v>
      </c>
      <c r="C52" s="187" t="str">
        <f>INDEX('Pricing (Drugs) SS'!$E:$E,MATCH(F52,'Pricing (Drugs) SS'!$A:$A,0))</f>
        <v>5mg/mL</v>
      </c>
      <c r="D52" s="188" t="str">
        <f>INDEX('Pricing (Drugs) SS'!$F:$F,MATCH(F52,'Pricing (Drugs) SS'!$A:$A,0))</f>
        <v>50mL</v>
      </c>
      <c r="E52" s="188" t="str">
        <f>INDEX('Pricing (Drugs) SS'!$D:$D,MATCH(F52,'Pricing (Drugs) SS'!$A:$A,0))</f>
        <v>63323-463-57</v>
      </c>
      <c r="F52" s="189">
        <v>1012090</v>
      </c>
      <c r="G52" s="241">
        <f>INDEX('Pricing (Drugs) SS'!$I:$I,MATCH(F52,'Pricing (Drugs) SS'!$A:$A,0))</f>
        <v>20.77</v>
      </c>
      <c r="H52" s="241">
        <f t="shared" si="2"/>
        <v>0</v>
      </c>
      <c r="I52" s="191">
        <f>VLOOKUP(F52,'Price Sheet'!$A:$C,3,FALSE)</f>
        <v>45.95</v>
      </c>
      <c r="J52" s="191"/>
      <c r="K52" s="192">
        <f t="shared" si="0"/>
        <v>45.95</v>
      </c>
      <c r="L52" s="192">
        <f t="shared" si="1"/>
        <v>0</v>
      </c>
      <c r="M52" s="193" t="str">
        <f t="shared" si="3"/>
        <v/>
      </c>
      <c r="N52" s="194" t="str">
        <f t="shared" si="4"/>
        <v/>
      </c>
      <c r="O52" s="194" t="str">
        <f t="shared" si="5"/>
        <v/>
      </c>
      <c r="P52" s="124" t="str">
        <f>INDEX('Pricing (Drugs) SS'!$C:$C,MATCH(F52,'Pricing (Drugs) SS'!$A:$A,0))</f>
        <v>ACTIVE</v>
      </c>
      <c r="Q52" s="124" t="str">
        <f>IF(AND($K$23="Extra DEA Req",S52="X"),"SAFE- CONTROLLED",INDEX('Pricing (Drugs) SS'!$G:$G,MATCH(F52,'Pricing (Drugs) SS'!$A:$A,0)))</f>
        <v>DRUG ROOM</v>
      </c>
      <c r="R52" s="195" t="str">
        <f>INDEX('Pricing (Drugs) SS'!$H:$H,MATCH(F52,'Pricing (Drugs) SS'!$A:$A,0))</f>
        <v>Not on List</v>
      </c>
      <c r="S52" s="124" t="str">
        <f>IF(COUNTIFS('Version and Lists'!$F:$F,F52,'Version and Lists'!$G:$G,$L$22)&gt;0,"X","")</f>
        <v/>
      </c>
    </row>
    <row r="53" spans="1:19" ht="15" customHeight="1" x14ac:dyDescent="0.3">
      <c r="A53" s="185">
        <f>INDEX('McKesson Formulary Calculator'!$A$12:$A$434,MATCH(F53,'McKesson Formulary Calculator'!$F$12:$F$434,0))</f>
        <v>0</v>
      </c>
      <c r="B53" s="186" t="str">
        <f>INDEX('Pricing (Drugs) SS'!$B:$B,MATCH(F53,'Pricing (Drugs) SS'!$A:$A,0))</f>
        <v>10% CALCIUM CHLORIDE INJECTION, USP 1 g/10 mL (100 mg/ mL) (1.4 mEq/mL) LUER-JET™ SYR</v>
      </c>
      <c r="C53" s="187" t="str">
        <f>INDEX('Pricing (Drugs) SS'!$E:$E,MATCH(F53,'Pricing (Drugs) SS'!$A:$A,0))</f>
        <v>100 mg/1 mL</v>
      </c>
      <c r="D53" s="188" t="str">
        <f>INDEX('Pricing (Drugs) SS'!$F:$F,MATCH(F53,'Pricing (Drugs) SS'!$A:$A,0))</f>
        <v>10 mL</v>
      </c>
      <c r="E53" s="188" t="str">
        <f>INDEX('Pricing (Drugs) SS'!$D:$D,MATCH(F53,'Pricing (Drugs) SS'!$A:$A,0))</f>
        <v>76329-3304-1</v>
      </c>
      <c r="F53" s="189">
        <v>1012300</v>
      </c>
      <c r="G53" s="241">
        <f>INDEX('Pricing (Drugs) SS'!$I:$I,MATCH(F53,'Pricing (Drugs) SS'!$A:$A,0))</f>
        <v>10.5</v>
      </c>
      <c r="H53" s="241">
        <f t="shared" si="2"/>
        <v>0</v>
      </c>
      <c r="I53" s="191">
        <f>VLOOKUP(F53,'Price Sheet'!$A:$C,3,FALSE)</f>
        <v>49.97</v>
      </c>
      <c r="J53" s="191"/>
      <c r="K53" s="192">
        <f t="shared" si="0"/>
        <v>49.97</v>
      </c>
      <c r="L53" s="192">
        <f t="shared" si="1"/>
        <v>0</v>
      </c>
      <c r="M53" s="193" t="str">
        <f t="shared" si="3"/>
        <v/>
      </c>
      <c r="N53" s="194" t="str">
        <f t="shared" si="4"/>
        <v/>
      </c>
      <c r="O53" s="194" t="str">
        <f t="shared" si="5"/>
        <v/>
      </c>
      <c r="P53" s="124" t="str">
        <f>INDEX('Pricing (Drugs) SS'!$C:$C,MATCH(F53,'Pricing (Drugs) SS'!$A:$A,0))</f>
        <v>ACTIVE</v>
      </c>
      <c r="Q53" s="124" t="str">
        <f>IF(AND($K$23="Extra DEA Req",S53="X"),"SAFE- CONTROLLED",INDEX('Pricing (Drugs) SS'!$G:$G,MATCH(F53,'Pricing (Drugs) SS'!$A:$A,0)))</f>
        <v>DRUG ROOM</v>
      </c>
      <c r="R53" s="195" t="str">
        <f>INDEX('Pricing (Drugs) SS'!$H:$H,MATCH(F53,'Pricing (Drugs) SS'!$A:$A,0))</f>
        <v>Not on List</v>
      </c>
      <c r="S53" s="124" t="str">
        <f>IF(COUNTIFS('Version and Lists'!$F:$F,F53,'Version and Lists'!$G:$G,$L$22)&gt;0,"X","")</f>
        <v/>
      </c>
    </row>
    <row r="54" spans="1:19" ht="15" customHeight="1" x14ac:dyDescent="0.3">
      <c r="A54" s="185">
        <f>INDEX('McKesson Formulary Calculator'!$A$12:$A$434,MATCH(F54,'McKesson Formulary Calculator'!$F$12:$F$434,0))</f>
        <v>0</v>
      </c>
      <c r="B54" s="186" t="str">
        <f>INDEX('Pricing (Drugs) SS'!$B:$B,MATCH(F54,'Pricing (Drugs) SS'!$A:$A,0))</f>
        <v>10% CALCIUM CHLORIDE INJECTION, USP 1000mg/10mL (100mg/mL) SYR</v>
      </c>
      <c r="C54" s="187" t="str">
        <f>INDEX('Pricing (Drugs) SS'!$E:$E,MATCH(F54,'Pricing (Drugs) SS'!$A:$A,0))</f>
        <v>100mg/mL</v>
      </c>
      <c r="D54" s="188" t="str">
        <f>INDEX('Pricing (Drugs) SS'!$F:$F,MATCH(F54,'Pricing (Drugs) SS'!$A:$A,0))</f>
        <v>10mL</v>
      </c>
      <c r="E54" s="188" t="str">
        <f>INDEX('Pricing (Drugs) SS'!$D:$D,MATCH(F54,'Pricing (Drugs) SS'!$A:$A,0))</f>
        <v>0409-1631-10</v>
      </c>
      <c r="F54" s="189">
        <v>1012720</v>
      </c>
      <c r="G54" s="241">
        <f>INDEX('Pricing (Drugs) SS'!$I:$I,MATCH(F54,'Pricing (Drugs) SS'!$A:$A,0))</f>
        <v>13.872</v>
      </c>
      <c r="H54" s="241">
        <f t="shared" si="2"/>
        <v>0</v>
      </c>
      <c r="I54" s="191">
        <f>VLOOKUP(F54,'Price Sheet'!$A:$C,3,FALSE)</f>
        <v>49.97</v>
      </c>
      <c r="J54" s="191"/>
      <c r="K54" s="192">
        <f t="shared" si="0"/>
        <v>49.97</v>
      </c>
      <c r="L54" s="192">
        <f t="shared" si="1"/>
        <v>0</v>
      </c>
      <c r="M54" s="193" t="str">
        <f t="shared" si="3"/>
        <v/>
      </c>
      <c r="N54" s="194" t="str">
        <f t="shared" si="4"/>
        <v/>
      </c>
      <c r="O54" s="194" t="str">
        <f t="shared" si="5"/>
        <v/>
      </c>
      <c r="P54" s="124" t="str">
        <f>INDEX('Pricing (Drugs) SS'!$C:$C,MATCH(F54,'Pricing (Drugs) SS'!$A:$A,0))</f>
        <v>ACTIVE</v>
      </c>
      <c r="Q54" s="124" t="str">
        <f>IF(AND($K$23="Extra DEA Req",S54="X"),"SAFE- CONTROLLED",INDEX('Pricing (Drugs) SS'!$G:$G,MATCH(F54,'Pricing (Drugs) SS'!$A:$A,0)))</f>
        <v>DRUG ROOM</v>
      </c>
      <c r="R54" s="195" t="str">
        <f>INDEX('Pricing (Drugs) SS'!$H:$H,MATCH(F54,'Pricing (Drugs) SS'!$A:$A,0))</f>
        <v>Not on List</v>
      </c>
      <c r="S54" s="124" t="str">
        <f>IF(COUNTIFS('Version and Lists'!$F:$F,F54,'Version and Lists'!$G:$G,$L$22)&gt;0,"X","")</f>
        <v/>
      </c>
    </row>
    <row r="55" spans="1:19" s="64" customFormat="1" ht="15" customHeight="1" x14ac:dyDescent="0.3">
      <c r="A55" s="185">
        <f>INDEX('McKesson Formulary Calculator'!$A$12:$A$434,MATCH(F55,'McKesson Formulary Calculator'!$F$12:$F$434,0))</f>
        <v>0</v>
      </c>
      <c r="B55" s="186" t="str">
        <f>INDEX('Pricing (Drugs) SS'!$B:$B,MATCH(F55,'Pricing (Drugs) SS'!$A:$A,0))</f>
        <v>CALCIUM GLUCONATE INJECTION, USP 10% 1,000 mg per 10mL  (100mg/mL) 10mL VIAL</v>
      </c>
      <c r="C55" s="187" t="str">
        <f>INDEX('Pricing (Drugs) SS'!$E:$E,MATCH(F55,'Pricing (Drugs) SS'!$A:$A,0))</f>
        <v>100mg/mL</v>
      </c>
      <c r="D55" s="188" t="str">
        <f>INDEX('Pricing (Drugs) SS'!$F:$F,MATCH(F55,'Pricing (Drugs) SS'!$A:$A,0))</f>
        <v>10mL</v>
      </c>
      <c r="E55" s="188" t="str">
        <f>INDEX('Pricing (Drugs) SS'!$D:$D,MATCH(F55,'Pricing (Drugs) SS'!$A:$A,0))</f>
        <v>63323-360-19</v>
      </c>
      <c r="F55" s="189">
        <v>1009700</v>
      </c>
      <c r="G55" s="241">
        <f>INDEX('Pricing (Drugs) SS'!$I:$I,MATCH(F55,'Pricing (Drugs) SS'!$A:$A,0))</f>
        <v>11.42</v>
      </c>
      <c r="H55" s="241">
        <f t="shared" si="2"/>
        <v>0</v>
      </c>
      <c r="I55" s="191">
        <f>VLOOKUP(F55,'Price Sheet'!$A:$C,3,FALSE)</f>
        <v>39.36</v>
      </c>
      <c r="J55" s="191"/>
      <c r="K55" s="192">
        <f t="shared" si="0"/>
        <v>39.36</v>
      </c>
      <c r="L55" s="192">
        <f t="shared" si="1"/>
        <v>0</v>
      </c>
      <c r="M55" s="193" t="str">
        <f t="shared" si="3"/>
        <v/>
      </c>
      <c r="N55" s="194" t="str">
        <f t="shared" si="4"/>
        <v/>
      </c>
      <c r="O55" s="194" t="str">
        <f t="shared" si="5"/>
        <v/>
      </c>
      <c r="P55" s="124" t="str">
        <f>INDEX('Pricing (Drugs) SS'!$C:$C,MATCH(F55,'Pricing (Drugs) SS'!$A:$A,0))</f>
        <v>ACTIVE</v>
      </c>
      <c r="Q55" s="124" t="str">
        <f>IF(AND($K$23="Extra DEA Req",S55="X"),"SAFE- CONTROLLED",INDEX('Pricing (Drugs) SS'!$G:$G,MATCH(F55,'Pricing (Drugs) SS'!$A:$A,0)))</f>
        <v>DRUG ROOM</v>
      </c>
      <c r="R55" s="195" t="str">
        <f>INDEX('Pricing (Drugs) SS'!$H:$H,MATCH(F55,'Pricing (Drugs) SS'!$A:$A,0))</f>
        <v>Not on List</v>
      </c>
      <c r="S55" s="124" t="str">
        <f>IF(COUNTIFS('Version and Lists'!$F:$F,F55,'Version and Lists'!$G:$G,$L$22)&gt;0,"X","")</f>
        <v/>
      </c>
    </row>
    <row r="56" spans="1:19" ht="15" customHeight="1" x14ac:dyDescent="0.3">
      <c r="A56" s="185">
        <f>INDEX('McKesson Formulary Calculator'!$A$12:$A$434,MATCH(F56,'McKesson Formulary Calculator'!$F$12:$F$434,0))</f>
        <v>0</v>
      </c>
      <c r="B56" s="186" t="str">
        <f>INDEX('Pricing (Drugs) SS'!$B:$B,MATCH(F56,'Pricing (Drugs) SS'!$A:$A,0))</f>
        <v>CHLORAPREP® SINGLE SWABSTICK 1.75mL</v>
      </c>
      <c r="C56" s="187" t="str">
        <f>INDEX('Pricing (Drugs) SS'!$E:$E,MATCH(F56,'Pricing (Drugs) SS'!$A:$A,0))</f>
        <v>1.75mL</v>
      </c>
      <c r="D56" s="188" t="str">
        <f>INDEX('Pricing (Drugs) SS'!$F:$F,MATCH(F56,'Pricing (Drugs) SS'!$A:$A,0))</f>
        <v>Swabstick</v>
      </c>
      <c r="E56" s="188" t="str">
        <f>INDEX('Pricing (Drugs) SS'!$D:$D,MATCH(F56,'Pricing (Drugs) SS'!$A:$A,0))</f>
        <v>54365-401-28</v>
      </c>
      <c r="F56" s="189">
        <v>1024650</v>
      </c>
      <c r="G56" s="241">
        <f>INDEX('Pricing (Drugs) SS'!$I:$I,MATCH(F56,'Pricing (Drugs) SS'!$A:$A,0))</f>
        <v>1.0249999999999999</v>
      </c>
      <c r="H56" s="241">
        <f t="shared" si="2"/>
        <v>0</v>
      </c>
      <c r="I56" s="191">
        <f>VLOOKUP(F56,'Price Sheet'!$A:$C,3,FALSE)</f>
        <v>6.15</v>
      </c>
      <c r="J56" s="191"/>
      <c r="K56" s="192">
        <f t="shared" si="0"/>
        <v>6.15</v>
      </c>
      <c r="L56" s="192">
        <f t="shared" si="1"/>
        <v>0</v>
      </c>
      <c r="M56" s="193" t="str">
        <f t="shared" si="3"/>
        <v/>
      </c>
      <c r="N56" s="194" t="str">
        <f t="shared" si="4"/>
        <v/>
      </c>
      <c r="O56" s="194" t="str">
        <f t="shared" si="5"/>
        <v/>
      </c>
      <c r="P56" s="124" t="str">
        <f>INDEX('Pricing (Drugs) SS'!$C:$C,MATCH(F56,'Pricing (Drugs) SS'!$A:$A,0))</f>
        <v>ACTIVE</v>
      </c>
      <c r="Q56" s="124" t="str">
        <f>IF(AND($K$23="Extra DEA Req",S56="X"),"SAFE- CONTROLLED",INDEX('Pricing (Drugs) SS'!$G:$G,MATCH(F56,'Pricing (Drugs) SS'!$A:$A,0)))</f>
        <v>DRUG ROOM</v>
      </c>
      <c r="R56" s="195" t="str">
        <f>INDEX('Pricing (Drugs) SS'!$H:$H,MATCH(F56,'Pricing (Drugs) SS'!$A:$A,0))</f>
        <v>Not on List</v>
      </c>
      <c r="S56" s="124" t="str">
        <f>IF(COUNTIFS('Version and Lists'!$F:$F,F56,'Version and Lists'!$G:$G,$L$22)&gt;0,"X","")</f>
        <v/>
      </c>
    </row>
    <row r="57" spans="1:19" ht="15" customHeight="1" x14ac:dyDescent="0.3">
      <c r="A57" s="185">
        <f>INDEX('McKesson Formulary Calculator'!$A$12:$A$434,MATCH(F57,'McKesson Formulary Calculator'!$F$12:$F$434,0))</f>
        <v>0</v>
      </c>
      <c r="B57" s="186" t="str">
        <f>INDEX('Pricing (Drugs) SS'!$B:$B,MATCH(F57,'Pricing (Drugs) SS'!$A:$A,0))</f>
        <v>DEXAMETHASONE SODIUM PHOSPHATE INJECTION, USP 10mg/mL 1mL VIAL</v>
      </c>
      <c r="C57" s="187" t="str">
        <f>INDEX('Pricing (Drugs) SS'!$E:$E,MATCH(F57,'Pricing (Drugs) SS'!$A:$A,0))</f>
        <v>10mg/mL</v>
      </c>
      <c r="D57" s="188" t="str">
        <f>INDEX('Pricing (Drugs) SS'!$F:$F,MATCH(F57,'Pricing (Drugs) SS'!$A:$A,0))</f>
        <v>1 mL</v>
      </c>
      <c r="E57" s="188" t="str">
        <f>INDEX('Pricing (Drugs) SS'!$D:$D,MATCH(F57,'Pricing (Drugs) SS'!$A:$A,0))</f>
        <v>0641-0367-25</v>
      </c>
      <c r="F57" s="189">
        <v>1010160</v>
      </c>
      <c r="G57" s="241">
        <f>INDEX('Pricing (Drugs) SS'!$I:$I,MATCH(F57,'Pricing (Drugs) SS'!$A:$A,0))</f>
        <v>0.76680000000000004</v>
      </c>
      <c r="H57" s="241">
        <f t="shared" si="2"/>
        <v>0</v>
      </c>
      <c r="I57" s="191">
        <f>VLOOKUP(F57,'Price Sheet'!$A:$C,3,FALSE)</f>
        <v>8.99</v>
      </c>
      <c r="J57" s="191"/>
      <c r="K57" s="192">
        <f t="shared" si="0"/>
        <v>8.99</v>
      </c>
      <c r="L57" s="192">
        <f t="shared" si="1"/>
        <v>0</v>
      </c>
      <c r="M57" s="193" t="str">
        <f t="shared" si="3"/>
        <v/>
      </c>
      <c r="N57" s="194" t="str">
        <f t="shared" si="4"/>
        <v/>
      </c>
      <c r="O57" s="194" t="str">
        <f t="shared" si="5"/>
        <v/>
      </c>
      <c r="P57" s="124" t="str">
        <f>INDEX('Pricing (Drugs) SS'!$C:$C,MATCH(F57,'Pricing (Drugs) SS'!$A:$A,0))</f>
        <v>ACTIVE</v>
      </c>
      <c r="Q57" s="124" t="str">
        <f>IF(AND($K$23="Extra DEA Req",S57="X"),"SAFE- CONTROLLED",INDEX('Pricing (Drugs) SS'!$G:$G,MATCH(F57,'Pricing (Drugs) SS'!$A:$A,0)))</f>
        <v>DRUG ROOM</v>
      </c>
      <c r="R57" s="195" t="str">
        <f>INDEX('Pricing (Drugs) SS'!$H:$H,MATCH(F57,'Pricing (Drugs) SS'!$A:$A,0))</f>
        <v>Not on List</v>
      </c>
      <c r="S57" s="124" t="str">
        <f>IF(COUNTIFS('Version and Lists'!$F:$F,F57,'Version and Lists'!$G:$G,$L$22)&gt;0,"X","")</f>
        <v/>
      </c>
    </row>
    <row r="58" spans="1:19" s="64" customFormat="1" ht="15" customHeight="1" x14ac:dyDescent="0.3">
      <c r="A58" s="185">
        <f>INDEX('McKesson Formulary Calculator'!$A$12:$A$434,MATCH(F58,'McKesson Formulary Calculator'!$F$12:$F$434,0))</f>
        <v>0</v>
      </c>
      <c r="B58" s="186" t="str">
        <f>INDEX('Pricing (Drugs) SS'!$B:$B,MATCH(F58,'Pricing (Drugs) SS'!$A:$A,0))</f>
        <v>DEXAMETHASONE SODIUM PHOSPHATE INJECTION USP 100mg PER 10mL(10mg/mL*) 10mL VIAL</v>
      </c>
      <c r="C58" s="187" t="str">
        <f>INDEX('Pricing (Drugs) SS'!$E:$E,MATCH(F58,'Pricing (Drugs) SS'!$A:$A,0))</f>
        <v>10mg/mL</v>
      </c>
      <c r="D58" s="188" t="str">
        <f>INDEX('Pricing (Drugs) SS'!$F:$F,MATCH(F58,'Pricing (Drugs) SS'!$A:$A,0))</f>
        <v>10mL</v>
      </c>
      <c r="E58" s="188" t="str">
        <f>INDEX('Pricing (Drugs) SS'!$D:$D,MATCH(F58,'Pricing (Drugs) SS'!$A:$A,0))</f>
        <v>55150-305-10</v>
      </c>
      <c r="F58" s="189">
        <v>1016140</v>
      </c>
      <c r="G58" s="241">
        <f>INDEX('Pricing (Drugs) SS'!$I:$I,MATCH(F58,'Pricing (Drugs) SS'!$A:$A,0))</f>
        <v>4.0999999999999996</v>
      </c>
      <c r="H58" s="241">
        <f t="shared" si="2"/>
        <v>0</v>
      </c>
      <c r="I58" s="191">
        <f>VLOOKUP(F58,'Price Sheet'!$A:$C,3,FALSE)</f>
        <v>11.99</v>
      </c>
      <c r="J58" s="191"/>
      <c r="K58" s="192">
        <f t="shared" si="0"/>
        <v>11.99</v>
      </c>
      <c r="L58" s="192">
        <f t="shared" si="1"/>
        <v>0</v>
      </c>
      <c r="M58" s="193" t="str">
        <f t="shared" si="3"/>
        <v/>
      </c>
      <c r="N58" s="194" t="str">
        <f t="shared" si="4"/>
        <v/>
      </c>
      <c r="O58" s="194" t="str">
        <f t="shared" si="5"/>
        <v/>
      </c>
      <c r="P58" s="124" t="str">
        <f>INDEX('Pricing (Drugs) SS'!$C:$C,MATCH(F58,'Pricing (Drugs) SS'!$A:$A,0))</f>
        <v>ACTIVE</v>
      </c>
      <c r="Q58" s="124" t="str">
        <f>IF(AND($K$23="Extra DEA Req",S58="X"),"SAFE- CONTROLLED",INDEX('Pricing (Drugs) SS'!$G:$G,MATCH(F58,'Pricing (Drugs) SS'!$A:$A,0)))</f>
        <v>DRUG ROOM</v>
      </c>
      <c r="R58" s="195" t="str">
        <f>INDEX('Pricing (Drugs) SS'!$H:$H,MATCH(F58,'Pricing (Drugs) SS'!$A:$A,0))</f>
        <v>Not on List</v>
      </c>
      <c r="S58" s="124" t="str">
        <f>IF(COUNTIFS('Version and Lists'!$F:$F,F58,'Version and Lists'!$G:$G,$L$22)&gt;0,"X","")</f>
        <v/>
      </c>
    </row>
    <row r="59" spans="1:19" ht="15" customHeight="1" x14ac:dyDescent="0.3">
      <c r="A59" s="185">
        <f>INDEX('McKesson Formulary Calculator'!$A$12:$A$434,MATCH(F59,'McKesson Formulary Calculator'!$F$12:$F$434,0))</f>
        <v>0</v>
      </c>
      <c r="B59" s="186" t="str">
        <f>INDEX('Pricing (Drugs) SS'!$B:$B,MATCH(F59,'Pricing (Drugs) SS'!$A:$A,0))</f>
        <v>DEXAMETHASONE SODIUM PHOSPHATE INJECTION, USP 20mg/5mL (4mg/mL) 5mL VIAL</v>
      </c>
      <c r="C59" s="187" t="str">
        <f>INDEX('Pricing (Drugs) SS'!$E:$E,MATCH(F59,'Pricing (Drugs) SS'!$A:$A,0))</f>
        <v>4mg/mL</v>
      </c>
      <c r="D59" s="188" t="str">
        <f>INDEX('Pricing (Drugs) SS'!$F:$F,MATCH(F59,'Pricing (Drugs) SS'!$A:$A,0))</f>
        <v>5mL</v>
      </c>
      <c r="E59" s="188" t="str">
        <f>INDEX('Pricing (Drugs) SS'!$D:$D,MATCH(F59,'Pricing (Drugs) SS'!$A:$A,0))</f>
        <v>0641-6146-10</v>
      </c>
      <c r="F59" s="189">
        <v>1022730</v>
      </c>
      <c r="G59" s="241">
        <f>INDEX('Pricing (Drugs) SS'!$I:$I,MATCH(F59,'Pricing (Drugs) SS'!$A:$A,0))</f>
        <v>0.70299999999999996</v>
      </c>
      <c r="H59" s="241">
        <f t="shared" si="2"/>
        <v>0</v>
      </c>
      <c r="I59" s="191">
        <f>VLOOKUP(F59,'Price Sheet'!$A:$C,3,FALSE)</f>
        <v>9.99</v>
      </c>
      <c r="J59" s="191"/>
      <c r="K59" s="192">
        <f t="shared" si="0"/>
        <v>9.99</v>
      </c>
      <c r="L59" s="192">
        <f t="shared" si="1"/>
        <v>0</v>
      </c>
      <c r="M59" s="193" t="str">
        <f t="shared" si="3"/>
        <v/>
      </c>
      <c r="N59" s="194" t="str">
        <f t="shared" si="4"/>
        <v/>
      </c>
      <c r="O59" s="194" t="str">
        <f t="shared" si="5"/>
        <v/>
      </c>
      <c r="P59" s="124" t="str">
        <f>INDEX('Pricing (Drugs) SS'!$C:$C,MATCH(F59,'Pricing (Drugs) SS'!$A:$A,0))</f>
        <v>ACTIVE</v>
      </c>
      <c r="Q59" s="124" t="str">
        <f>IF(AND($K$23="Extra DEA Req",S59="X"),"SAFE- CONTROLLED",INDEX('Pricing (Drugs) SS'!$G:$G,MATCH(F59,'Pricing (Drugs) SS'!$A:$A,0)))</f>
        <v>DRUG ROOM</v>
      </c>
      <c r="R59" s="195" t="str">
        <f>INDEX('Pricing (Drugs) SS'!$H:$H,MATCH(F59,'Pricing (Drugs) SS'!$A:$A,0))</f>
        <v>Not on List</v>
      </c>
      <c r="S59" s="124" t="str">
        <f>IF(COUNTIFS('Version and Lists'!$F:$F,F59,'Version and Lists'!$G:$G,$L$22)&gt;0,"X","")</f>
        <v/>
      </c>
    </row>
    <row r="60" spans="1:19" ht="15" customHeight="1" x14ac:dyDescent="0.3">
      <c r="A60" s="185">
        <f>INDEX('McKesson Formulary Calculator'!$A$12:$A$434,MATCH(F60,'McKesson Formulary Calculator'!$F$12:$F$434,0))</f>
        <v>0</v>
      </c>
      <c r="B60" s="186" t="str">
        <f>INDEX('Pricing (Drugs) SS'!$B:$B,MATCH(F60,'Pricing (Drugs) SS'!$A:$A,0))</f>
        <v>INFANT 25% DEXTROSE INJECTION, USP 2.5g (250mg/mL) ANSYR SYR</v>
      </c>
      <c r="C60" s="187" t="str">
        <f>INDEX('Pricing (Drugs) SS'!$E:$E,MATCH(F60,'Pricing (Drugs) SS'!$A:$A,0))</f>
        <v>250mg/mL</v>
      </c>
      <c r="D60" s="188" t="str">
        <f>INDEX('Pricing (Drugs) SS'!$F:$F,MATCH(F60,'Pricing (Drugs) SS'!$A:$A,0))</f>
        <v>10mL</v>
      </c>
      <c r="E60" s="188" t="str">
        <f>INDEX('Pricing (Drugs) SS'!$D:$D,MATCH(F60,'Pricing (Drugs) SS'!$A:$A,0))</f>
        <v>0409-1775-10</v>
      </c>
      <c r="F60" s="189">
        <v>1000140</v>
      </c>
      <c r="G60" s="241">
        <f>INDEX('Pricing (Drugs) SS'!$I:$I,MATCH(F60,'Pricing (Drugs) SS'!$A:$A,0))</f>
        <v>24.448</v>
      </c>
      <c r="H60" s="241">
        <f t="shared" si="2"/>
        <v>0</v>
      </c>
      <c r="I60" s="191">
        <f>VLOOKUP(F60,'Price Sheet'!$A:$C,3,FALSE)</f>
        <v>55.95</v>
      </c>
      <c r="J60" s="191"/>
      <c r="K60" s="192">
        <f t="shared" si="0"/>
        <v>55.95</v>
      </c>
      <c r="L60" s="192">
        <f t="shared" si="1"/>
        <v>0</v>
      </c>
      <c r="M60" s="193" t="str">
        <f t="shared" si="3"/>
        <v/>
      </c>
      <c r="N60" s="194" t="str">
        <f t="shared" si="4"/>
        <v/>
      </c>
      <c r="O60" s="194" t="str">
        <f t="shared" si="5"/>
        <v/>
      </c>
      <c r="P60" s="124" t="str">
        <f>INDEX('Pricing (Drugs) SS'!$C:$C,MATCH(F60,'Pricing (Drugs) SS'!$A:$A,0))</f>
        <v>ACTIVE</v>
      </c>
      <c r="Q60" s="124" t="str">
        <f>IF(AND($K$23="Extra DEA Req",S60="X"),"SAFE- CONTROLLED",INDEX('Pricing (Drugs) SS'!$G:$G,MATCH(F60,'Pricing (Drugs) SS'!$A:$A,0)))</f>
        <v>DRUG ROOM</v>
      </c>
      <c r="R60" s="195" t="str">
        <f>INDEX('Pricing (Drugs) SS'!$H:$H,MATCH(F60,'Pricing (Drugs) SS'!$A:$A,0))</f>
        <v>Not on List</v>
      </c>
      <c r="S60" s="124" t="str">
        <f>IF(COUNTIFS('Version and Lists'!$F:$F,F60,'Version and Lists'!$G:$G,$L$22)&gt;0,"X","")</f>
        <v/>
      </c>
    </row>
    <row r="61" spans="1:19" ht="15" customHeight="1" x14ac:dyDescent="0.3">
      <c r="A61" s="185">
        <f>INDEX('McKesson Formulary Calculator'!$A$12:$A$434,MATCH(F61,'McKesson Formulary Calculator'!$F$12:$F$434,0))</f>
        <v>0</v>
      </c>
      <c r="B61" s="186" t="str">
        <f>INDEX('Pricing (Drugs) SS'!$B:$B,MATCH(F61,'Pricing (Drugs) SS'!$A:$A,0))</f>
        <v>50% DEXTROSE INJECTION, USP 25grams/50mL (0.5g/mL) VIAL</v>
      </c>
      <c r="C61" s="187" t="str">
        <f>INDEX('Pricing (Drugs) SS'!$E:$E,MATCH(F61,'Pricing (Drugs) SS'!$A:$A,0))</f>
        <v>0.5g/mL</v>
      </c>
      <c r="D61" s="188" t="str">
        <f>INDEX('Pricing (Drugs) SS'!$F:$F,MATCH(F61,'Pricing (Drugs) SS'!$A:$A,0))</f>
        <v>50mL</v>
      </c>
      <c r="E61" s="188" t="str">
        <f>INDEX('Pricing (Drugs) SS'!$D:$D,MATCH(F61,'Pricing (Drugs) SS'!$A:$A,0))</f>
        <v>0409-6648-02</v>
      </c>
      <c r="F61" s="189">
        <v>1000160</v>
      </c>
      <c r="G61" s="241">
        <f>INDEX('Pricing (Drugs) SS'!$I:$I,MATCH(F61,'Pricing (Drugs) SS'!$A:$A,0))</f>
        <v>5.8756000000000004</v>
      </c>
      <c r="H61" s="241">
        <f t="shared" si="2"/>
        <v>0</v>
      </c>
      <c r="I61" s="191">
        <f>VLOOKUP(F61,'Price Sheet'!$A:$C,3,FALSE)</f>
        <v>13.95</v>
      </c>
      <c r="J61" s="191"/>
      <c r="K61" s="192">
        <f t="shared" si="0"/>
        <v>13.95</v>
      </c>
      <c r="L61" s="192">
        <f t="shared" si="1"/>
        <v>0</v>
      </c>
      <c r="M61" s="193" t="str">
        <f t="shared" si="3"/>
        <v/>
      </c>
      <c r="N61" s="194" t="str">
        <f t="shared" si="4"/>
        <v/>
      </c>
      <c r="O61" s="194" t="str">
        <f t="shared" si="5"/>
        <v/>
      </c>
      <c r="P61" s="124" t="str">
        <f>INDEX('Pricing (Drugs) SS'!$C:$C,MATCH(F61,'Pricing (Drugs) SS'!$A:$A,0))</f>
        <v>ACTIVE</v>
      </c>
      <c r="Q61" s="124" t="str">
        <f>IF(AND($K$23="Extra DEA Req",S61="X"),"SAFE- CONTROLLED",INDEX('Pricing (Drugs) SS'!$G:$G,MATCH(F61,'Pricing (Drugs) SS'!$A:$A,0)))</f>
        <v>DRUG ROOM</v>
      </c>
      <c r="R61" s="195" t="str">
        <f>INDEX('Pricing (Drugs) SS'!$H:$H,MATCH(F61,'Pricing (Drugs) SS'!$A:$A,0))</f>
        <v>Not on List</v>
      </c>
      <c r="S61" s="124" t="str">
        <f>IF(COUNTIFS('Version and Lists'!$F:$F,F61,'Version and Lists'!$G:$G,$L$22)&gt;0,"X","")</f>
        <v/>
      </c>
    </row>
    <row r="62" spans="1:19" s="197" customFormat="1" ht="15" customHeight="1" x14ac:dyDescent="0.3">
      <c r="A62" s="185">
        <f>INDEX('McKesson Formulary Calculator'!$A$12:$A$434,MATCH(F62,'McKesson Formulary Calculator'!$F$12:$F$434,0))</f>
        <v>0</v>
      </c>
      <c r="B62" s="186" t="str">
        <f>INDEX('Pricing (Drugs) SS'!$B:$B,MATCH(F62,'Pricing (Drugs) SS'!$A:$A,0))</f>
        <v>50% DEXTROSE INJECTION, USP 25g/50mL (0.5 g/mL) 50mL LUER-JET™ SYR</v>
      </c>
      <c r="C62" s="187" t="str">
        <f>INDEX('Pricing (Drugs) SS'!$E:$E,MATCH(F62,'Pricing (Drugs) SS'!$A:$A,0))</f>
        <v>0.5 g/mL</v>
      </c>
      <c r="D62" s="188" t="str">
        <f>INDEX('Pricing (Drugs) SS'!$F:$F,MATCH(F62,'Pricing (Drugs) SS'!$A:$A,0))</f>
        <v>50 mL</v>
      </c>
      <c r="E62" s="188" t="str">
        <f>INDEX('Pricing (Drugs) SS'!$D:$D,MATCH(F62,'Pricing (Drugs) SS'!$A:$A,0))</f>
        <v>76329-3302-1</v>
      </c>
      <c r="F62" s="189">
        <v>1017610</v>
      </c>
      <c r="G62" s="241">
        <f>INDEX('Pricing (Drugs) SS'!$I:$I,MATCH(F62,'Pricing (Drugs) SS'!$A:$A,0))</f>
        <v>22.24</v>
      </c>
      <c r="H62" s="241">
        <f t="shared" si="2"/>
        <v>0</v>
      </c>
      <c r="I62" s="191">
        <f>VLOOKUP(F62,'Price Sheet'!$A:$C,3,FALSE)</f>
        <v>55.95</v>
      </c>
      <c r="J62" s="191"/>
      <c r="K62" s="192">
        <f t="shared" si="0"/>
        <v>55.95</v>
      </c>
      <c r="L62" s="192">
        <f t="shared" si="1"/>
        <v>0</v>
      </c>
      <c r="M62" s="193" t="str">
        <f t="shared" si="3"/>
        <v/>
      </c>
      <c r="N62" s="194" t="str">
        <f t="shared" si="4"/>
        <v/>
      </c>
      <c r="O62" s="194" t="str">
        <f t="shared" si="5"/>
        <v/>
      </c>
      <c r="P62" s="124" t="str">
        <f>INDEX('Pricing (Drugs) SS'!$C:$C,MATCH(F62,'Pricing (Drugs) SS'!$A:$A,0))</f>
        <v>ACTIVE</v>
      </c>
      <c r="Q62" s="124" t="str">
        <f>IF(AND($K$23="Extra DEA Req",S62="X"),"SAFE- CONTROLLED",INDEX('Pricing (Drugs) SS'!$G:$G,MATCH(F62,'Pricing (Drugs) SS'!$A:$A,0)))</f>
        <v>DRUG ROOM</v>
      </c>
      <c r="R62" s="195" t="str">
        <f>INDEX('Pricing (Drugs) SS'!$H:$H,MATCH(F62,'Pricing (Drugs) SS'!$A:$A,0))</f>
        <v>Not on List</v>
      </c>
      <c r="S62" s="124" t="str">
        <f>IF(COUNTIFS('Version and Lists'!$F:$F,F62,'Version and Lists'!$G:$G,$L$22)&gt;0,"X","")</f>
        <v/>
      </c>
    </row>
    <row r="63" spans="1:19" s="197" customFormat="1" ht="15" customHeight="1" x14ac:dyDescent="0.3">
      <c r="A63" s="185">
        <f>INDEX('McKesson Formulary Calculator'!$A$12:$A$434,MATCH(F63,'McKesson Formulary Calculator'!$F$12:$F$434,0))</f>
        <v>0</v>
      </c>
      <c r="B63" s="186" t="str">
        <f>INDEX('Pricing (Drugs) SS'!$B:$B,MATCH(F63,'Pricing (Drugs) SS'!$A:$A,0))</f>
        <v>5% DEXTROSE INJECTION, USP 250mL BAG</v>
      </c>
      <c r="C63" s="187" t="str">
        <f>INDEX('Pricing (Drugs) SS'!$E:$E,MATCH(F63,'Pricing (Drugs) SS'!$A:$A,0))</f>
        <v>50mg/mL</v>
      </c>
      <c r="D63" s="188" t="str">
        <f>INDEX('Pricing (Drugs) SS'!$F:$F,MATCH(F63,'Pricing (Drugs) SS'!$A:$A,0))</f>
        <v>250mL</v>
      </c>
      <c r="E63" s="188" t="str">
        <f>INDEX('Pricing (Drugs) SS'!$D:$D,MATCH(F63,'Pricing (Drugs) SS'!$A:$A,0))</f>
        <v>0990-7922-02</v>
      </c>
      <c r="F63" s="189">
        <v>1013200</v>
      </c>
      <c r="G63" s="241">
        <f>INDEX('Pricing (Drugs) SS'!$I:$I,MATCH(F63,'Pricing (Drugs) SS'!$A:$A,0))</f>
        <v>3.25</v>
      </c>
      <c r="H63" s="241">
        <f t="shared" si="2"/>
        <v>0</v>
      </c>
      <c r="I63" s="191">
        <f>VLOOKUP(F63,'Price Sheet'!$A:$C,3,FALSE)</f>
        <v>25.99</v>
      </c>
      <c r="J63" s="191"/>
      <c r="K63" s="192">
        <f t="shared" si="0"/>
        <v>25.99</v>
      </c>
      <c r="L63" s="192">
        <f t="shared" si="1"/>
        <v>0</v>
      </c>
      <c r="M63" s="193" t="str">
        <f t="shared" si="3"/>
        <v/>
      </c>
      <c r="N63" s="194" t="str">
        <f t="shared" si="4"/>
        <v/>
      </c>
      <c r="O63" s="194" t="str">
        <f t="shared" si="5"/>
        <v/>
      </c>
      <c r="P63" s="124" t="str">
        <f>INDEX('Pricing (Drugs) SS'!$C:$C,MATCH(F63,'Pricing (Drugs) SS'!$A:$A,0))</f>
        <v>ACTIVE</v>
      </c>
      <c r="Q63" s="124" t="str">
        <f>IF(AND($K$23="Extra DEA Req",S63="X"),"SAFE- CONTROLLED",INDEX('Pricing (Drugs) SS'!$G:$G,MATCH(F63,'Pricing (Drugs) SS'!$A:$A,0)))</f>
        <v>DRUG ROOM</v>
      </c>
      <c r="R63" s="195" t="str">
        <f>INDEX('Pricing (Drugs) SS'!$H:$H,MATCH(F63,'Pricing (Drugs) SS'!$A:$A,0))</f>
        <v>Not on List</v>
      </c>
      <c r="S63" s="124" t="str">
        <f>IF(COUNTIFS('Version and Lists'!$F:$F,F63,'Version and Lists'!$G:$G,$L$22)&gt;0,"X","")</f>
        <v/>
      </c>
    </row>
    <row r="64" spans="1:19" ht="15" customHeight="1" x14ac:dyDescent="0.3">
      <c r="A64" s="185">
        <f>INDEX('McKesson Formulary Calculator'!$A$12:$A$434,MATCH(F64,'McKesson Formulary Calculator'!$F$12:$F$434,0))</f>
        <v>0</v>
      </c>
      <c r="B64" s="186" t="str">
        <f>INDEX('Pricing (Drugs) SS'!$B:$B,MATCH(F64,'Pricing (Drugs) SS'!$A:$A,0))</f>
        <v>DIGOXIN INJECTION, USP 500mcg/2mL 0.5/2mL (250mcg/mL) AMP</v>
      </c>
      <c r="C64" s="187" t="str">
        <f>INDEX('Pricing (Drugs) SS'!$E:$E,MATCH(F64,'Pricing (Drugs) SS'!$A:$A,0))</f>
        <v>0.25mg/mL</v>
      </c>
      <c r="D64" s="188" t="str">
        <f>INDEX('Pricing (Drugs) SS'!$F:$F,MATCH(F64,'Pricing (Drugs) SS'!$A:$A,0))</f>
        <v>2mL</v>
      </c>
      <c r="E64" s="188" t="str">
        <f>INDEX('Pricing (Drugs) SS'!$D:$D,MATCH(F64,'Pricing (Drugs) SS'!$A:$A,0))</f>
        <v>0641-1410-35</v>
      </c>
      <c r="F64" s="189">
        <v>1000180</v>
      </c>
      <c r="G64" s="241">
        <f>INDEX('Pricing (Drugs) SS'!$I:$I,MATCH(F64,'Pricing (Drugs) SS'!$A:$A,0))</f>
        <v>4.4000000000000004</v>
      </c>
      <c r="H64" s="241">
        <f t="shared" si="2"/>
        <v>0</v>
      </c>
      <c r="I64" s="191">
        <f>VLOOKUP(F64,'Price Sheet'!$A:$C,3,FALSE)</f>
        <v>17.600000000000001</v>
      </c>
      <c r="J64" s="191"/>
      <c r="K64" s="192">
        <f t="shared" si="0"/>
        <v>17.600000000000001</v>
      </c>
      <c r="L64" s="192">
        <f t="shared" si="1"/>
        <v>0</v>
      </c>
      <c r="M64" s="193" t="str">
        <f t="shared" si="3"/>
        <v/>
      </c>
      <c r="N64" s="194" t="str">
        <f t="shared" si="4"/>
        <v/>
      </c>
      <c r="O64" s="194" t="str">
        <f t="shared" si="5"/>
        <v/>
      </c>
      <c r="P64" s="124" t="str">
        <f>INDEX('Pricing (Drugs) SS'!$C:$C,MATCH(F64,'Pricing (Drugs) SS'!$A:$A,0))</f>
        <v>ACTIVE</v>
      </c>
      <c r="Q64" s="124" t="str">
        <f>IF(AND($K$23="Extra DEA Req",S64="X"),"SAFE- CONTROLLED",INDEX('Pricing (Drugs) SS'!$G:$G,MATCH(F64,'Pricing (Drugs) SS'!$A:$A,0)))</f>
        <v>DRUG ROOM</v>
      </c>
      <c r="R64" s="195" t="str">
        <f>INDEX('Pricing (Drugs) SS'!$H:$H,MATCH(F64,'Pricing (Drugs) SS'!$A:$A,0))</f>
        <v>Not on List</v>
      </c>
      <c r="S64" s="124" t="str">
        <f>IF(COUNTIFS('Version and Lists'!$F:$F,F64,'Version and Lists'!$G:$G,$L$22)&gt;0,"X","")</f>
        <v/>
      </c>
    </row>
    <row r="65" spans="1:19" ht="15" customHeight="1" x14ac:dyDescent="0.3">
      <c r="A65" s="185">
        <f>INDEX('McKesson Formulary Calculator'!$A$12:$A$434,MATCH(F65,'McKesson Formulary Calculator'!$F$12:$F$434,0))</f>
        <v>0</v>
      </c>
      <c r="B65" s="186" t="str">
        <f>INDEX('Pricing (Drugs) SS'!$B:$B,MATCH(F65,'Pricing (Drugs) SS'!$A:$A,0))</f>
        <v>DILTIAZEM HCI INJECTION 25mg/5mL (5 mg/mL) 5mL VIAL</v>
      </c>
      <c r="C65" s="187" t="str">
        <f>INDEX('Pricing (Drugs) SS'!$E:$E,MATCH(F65,'Pricing (Drugs) SS'!$A:$A,0))</f>
        <v>25mg/5mL (5 mg/mL</v>
      </c>
      <c r="D65" s="188" t="str">
        <f>INDEX('Pricing (Drugs) SS'!$F:$F,MATCH(F65,'Pricing (Drugs) SS'!$A:$A,0))</f>
        <v>5mL</v>
      </c>
      <c r="E65" s="188" t="str">
        <f>INDEX('Pricing (Drugs) SS'!$D:$D,MATCH(F65,'Pricing (Drugs) SS'!$A:$A,0))</f>
        <v>0641-6013-10</v>
      </c>
      <c r="F65" s="189">
        <v>1010080</v>
      </c>
      <c r="G65" s="241">
        <f>INDEX('Pricing (Drugs) SS'!$I:$I,MATCH(F65,'Pricing (Drugs) SS'!$A:$A,0))</f>
        <v>3.0779999999999998</v>
      </c>
      <c r="H65" s="241">
        <f t="shared" si="2"/>
        <v>0</v>
      </c>
      <c r="I65" s="191">
        <f>VLOOKUP(F65,'Price Sheet'!$A:$C,3,FALSE)</f>
        <v>19.989999999999998</v>
      </c>
      <c r="J65" s="191"/>
      <c r="K65" s="192">
        <f t="shared" si="0"/>
        <v>19.989999999999998</v>
      </c>
      <c r="L65" s="192">
        <f t="shared" si="1"/>
        <v>0</v>
      </c>
      <c r="M65" s="193" t="str">
        <f t="shared" si="3"/>
        <v>C</v>
      </c>
      <c r="N65" s="194" t="str">
        <f t="shared" si="4"/>
        <v/>
      </c>
      <c r="O65" s="194" t="str">
        <f t="shared" si="5"/>
        <v/>
      </c>
      <c r="P65" s="124" t="str">
        <f>INDEX('Pricing (Drugs) SS'!$C:$C,MATCH(F65,'Pricing (Drugs) SS'!$A:$A,0))</f>
        <v>ACTIVE</v>
      </c>
      <c r="Q65" s="124" t="str">
        <f>IF(AND($K$23="Extra DEA Req",S65="X"),"SAFE- CONTROLLED",INDEX('Pricing (Drugs) SS'!$G:$G,MATCH(F65,'Pricing (Drugs) SS'!$A:$A,0)))</f>
        <v>REFRIGERATED</v>
      </c>
      <c r="R65" s="195" t="str">
        <f>INDEX('Pricing (Drugs) SS'!$H:$H,MATCH(F65,'Pricing (Drugs) SS'!$A:$A,0))</f>
        <v>Not on List</v>
      </c>
      <c r="S65" s="124" t="str">
        <f>IF(COUNTIFS('Version and Lists'!$F:$F,F65,'Version and Lists'!$G:$G,$L$22)&gt;0,"X","")</f>
        <v/>
      </c>
    </row>
    <row r="66" spans="1:19" ht="15" customHeight="1" x14ac:dyDescent="0.3">
      <c r="A66" s="185">
        <f>INDEX('McKesson Formulary Calculator'!$A$12:$A$434,MATCH(F66,'McKesson Formulary Calculator'!$F$12:$F$434,0))</f>
        <v>0</v>
      </c>
      <c r="B66" s="186" t="str">
        <f>INDEX('Pricing (Drugs) SS'!$B:$B,MATCH(F66,'Pricing (Drugs) SS'!$A:$A,0))</f>
        <v>DILTIAZEM HCI FOR INJECTION 100mg/VIAL DILTIAZEM HCl VIAL</v>
      </c>
      <c r="C66" s="187" t="str">
        <f>INDEX('Pricing (Drugs) SS'!$E:$E,MATCH(F66,'Pricing (Drugs) SS'!$A:$A,0))</f>
        <v>100mg/1</v>
      </c>
      <c r="D66" s="188" t="str">
        <f>INDEX('Pricing (Drugs) SS'!$F:$F,MATCH(F66,'Pricing (Drugs) SS'!$A:$A,0))</f>
        <v>15mL</v>
      </c>
      <c r="E66" s="188" t="str">
        <f>INDEX('Pricing (Drugs) SS'!$D:$D,MATCH(F66,'Pricing (Drugs) SS'!$A:$A,0))</f>
        <v>0409-4350-03</v>
      </c>
      <c r="F66" s="189">
        <v>1012770</v>
      </c>
      <c r="G66" s="241">
        <f>INDEX('Pricing (Drugs) SS'!$I:$I,MATCH(F66,'Pricing (Drugs) SS'!$A:$A,0))</f>
        <v>11.411</v>
      </c>
      <c r="H66" s="241">
        <f t="shared" si="2"/>
        <v>0</v>
      </c>
      <c r="I66" s="191">
        <f>VLOOKUP(F66,'Price Sheet'!$A:$C,3,FALSE)</f>
        <v>34.99</v>
      </c>
      <c r="J66" s="191"/>
      <c r="K66" s="192">
        <f t="shared" ref="K66:K89" si="6">J66+I66</f>
        <v>34.99</v>
      </c>
      <c r="L66" s="192">
        <f t="shared" si="1"/>
        <v>0</v>
      </c>
      <c r="M66" s="193" t="str">
        <f t="shared" si="3"/>
        <v/>
      </c>
      <c r="N66" s="194" t="str">
        <f t="shared" si="4"/>
        <v/>
      </c>
      <c r="O66" s="194" t="str">
        <f t="shared" si="5"/>
        <v/>
      </c>
      <c r="P66" s="124" t="str">
        <f>INDEX('Pricing (Drugs) SS'!$C:$C,MATCH(F66,'Pricing (Drugs) SS'!$A:$A,0))</f>
        <v>ACTIVE</v>
      </c>
      <c r="Q66" s="124" t="str">
        <f>IF(AND($K$23="Extra DEA Req",S66="X"),"SAFE- CONTROLLED",INDEX('Pricing (Drugs) SS'!$G:$G,MATCH(F66,'Pricing (Drugs) SS'!$A:$A,0)))</f>
        <v>DRUG ROOM</v>
      </c>
      <c r="R66" s="195" t="str">
        <f>INDEX('Pricing (Drugs) SS'!$H:$H,MATCH(F66,'Pricing (Drugs) SS'!$A:$A,0))</f>
        <v>Not on List</v>
      </c>
      <c r="S66" s="124" t="str">
        <f>IF(COUNTIFS('Version and Lists'!$F:$F,F66,'Version and Lists'!$G:$G,$L$22)&gt;0,"X","")</f>
        <v/>
      </c>
    </row>
    <row r="67" spans="1:19" ht="15" customHeight="1" x14ac:dyDescent="0.3">
      <c r="A67" s="185">
        <f>INDEX('McKesson Formulary Calculator'!$A$12:$A$434,MATCH(F67,'McKesson Formulary Calculator'!$F$12:$F$434,0))</f>
        <v>0</v>
      </c>
      <c r="B67" s="186" t="str">
        <f>INDEX('Pricing (Drugs) SS'!$B:$B,MATCH(F67,'Pricing (Drugs) SS'!$A:$A,0))</f>
        <v>DIPHENHYDRAMINE HCI INJECTION, USP 50mg/mL 1mL VIAL</v>
      </c>
      <c r="C67" s="187" t="str">
        <f>INDEX('Pricing (Drugs) SS'!$E:$E,MATCH(F67,'Pricing (Drugs) SS'!$A:$A,0))</f>
        <v>50mg/mL</v>
      </c>
      <c r="D67" s="188" t="str">
        <f>INDEX('Pricing (Drugs) SS'!$F:$F,MATCH(F67,'Pricing (Drugs) SS'!$A:$A,0))</f>
        <v>1mL</v>
      </c>
      <c r="E67" s="188" t="str">
        <f>INDEX('Pricing (Drugs) SS'!$D:$D,MATCH(F67,'Pricing (Drugs) SS'!$A:$A,0))</f>
        <v>0641-0376-25</v>
      </c>
      <c r="F67" s="189">
        <v>1000200</v>
      </c>
      <c r="G67" s="241">
        <f>INDEX('Pricing (Drugs) SS'!$I:$I,MATCH(F67,'Pricing (Drugs) SS'!$A:$A,0))</f>
        <v>0.56000000000000005</v>
      </c>
      <c r="H67" s="241">
        <f t="shared" si="2"/>
        <v>0</v>
      </c>
      <c r="I67" s="191">
        <f>VLOOKUP(F67,'Price Sheet'!$A:$C,3,FALSE)</f>
        <v>21.95</v>
      </c>
      <c r="J67" s="191"/>
      <c r="K67" s="192">
        <f t="shared" si="6"/>
        <v>21.95</v>
      </c>
      <c r="L67" s="192">
        <f t="shared" si="1"/>
        <v>0</v>
      </c>
      <c r="M67" s="193" t="str">
        <f t="shared" si="3"/>
        <v/>
      </c>
      <c r="N67" s="194" t="str">
        <f t="shared" si="4"/>
        <v/>
      </c>
      <c r="O67" s="194" t="str">
        <f t="shared" si="5"/>
        <v/>
      </c>
      <c r="P67" s="124" t="str">
        <f>INDEX('Pricing (Drugs) SS'!$C:$C,MATCH(F67,'Pricing (Drugs) SS'!$A:$A,0))</f>
        <v>ACTIVE</v>
      </c>
      <c r="Q67" s="124" t="str">
        <f>IF(AND($K$23="Extra DEA Req",S67="X"),"SAFE- CONTROLLED",INDEX('Pricing (Drugs) SS'!$G:$G,MATCH(F67,'Pricing (Drugs) SS'!$A:$A,0)))</f>
        <v>DRUG ROOM</v>
      </c>
      <c r="R67" s="195" t="str">
        <f>INDEX('Pricing (Drugs) SS'!$H:$H,MATCH(F67,'Pricing (Drugs) SS'!$A:$A,0))</f>
        <v>Not on List</v>
      </c>
      <c r="S67" s="124" t="str">
        <f>IF(COUNTIFS('Version and Lists'!$F:$F,F67,'Version and Lists'!$G:$G,$L$22)&gt;0,"X","")</f>
        <v/>
      </c>
    </row>
    <row r="68" spans="1:19" ht="15" customHeight="1" x14ac:dyDescent="0.3">
      <c r="A68" s="185">
        <f>INDEX('McKesson Formulary Calculator'!$A$12:$A$434,MATCH(F68,'McKesson Formulary Calculator'!$F$12:$F$434,0))</f>
        <v>0</v>
      </c>
      <c r="B68" s="186" t="str">
        <f>INDEX('Pricing (Drugs) SS'!$B:$B,MATCH(F68,'Pricing (Drugs) SS'!$A:$A,0))</f>
        <v>DIPHENHYDRAMINE HCl 25mg CAPLET (2 PACK)</v>
      </c>
      <c r="C68" s="187" t="str">
        <f>INDEX('Pricing (Drugs) SS'!$E:$E,MATCH(F68,'Pricing (Drugs) SS'!$A:$A,0))</f>
        <v>25 mg/1</v>
      </c>
      <c r="D68" s="188" t="str">
        <f>INDEX('Pricing (Drugs) SS'!$F:$F,MATCH(F68,'Pricing (Drugs) SS'!$A:$A,0))</f>
        <v>1 caplet</v>
      </c>
      <c r="E68" s="188" t="str">
        <f>INDEX('Pricing (Drugs) SS'!$D:$D,MATCH(F68,'Pricing (Drugs) SS'!$A:$A,0))</f>
        <v>47682-167-47</v>
      </c>
      <c r="F68" s="189">
        <v>1024640</v>
      </c>
      <c r="G68" s="241">
        <f>INDEX('Pricing (Drugs) SS'!$I:$I,MATCH(F68,'Pricing (Drugs) SS'!$A:$A,0))</f>
        <v>9.9699999999999997E-2</v>
      </c>
      <c r="H68" s="241">
        <f t="shared" si="2"/>
        <v>0</v>
      </c>
      <c r="I68" s="191">
        <f>VLOOKUP(F68,'Price Sheet'!$A:$C,3,FALSE)</f>
        <v>5.4</v>
      </c>
      <c r="J68" s="191"/>
      <c r="K68" s="192">
        <f t="shared" si="6"/>
        <v>5.4</v>
      </c>
      <c r="L68" s="192">
        <f t="shared" si="1"/>
        <v>0</v>
      </c>
      <c r="M68" s="193" t="str">
        <f t="shared" si="3"/>
        <v/>
      </c>
      <c r="N68" s="194" t="str">
        <f t="shared" si="4"/>
        <v/>
      </c>
      <c r="O68" s="194" t="str">
        <f t="shared" si="5"/>
        <v/>
      </c>
      <c r="P68" s="124" t="str">
        <f>INDEX('Pricing (Drugs) SS'!$C:$C,MATCH(F68,'Pricing (Drugs) SS'!$A:$A,0))</f>
        <v>ACTIVE</v>
      </c>
      <c r="Q68" s="124" t="str">
        <f>IF(AND($K$23="Extra DEA Req",S68="X"),"SAFE- CONTROLLED",INDEX('Pricing (Drugs) SS'!$G:$G,MATCH(F68,'Pricing (Drugs) SS'!$A:$A,0)))</f>
        <v>DRUG ROOM</v>
      </c>
      <c r="R68" s="195" t="str">
        <f>INDEX('Pricing (Drugs) SS'!$H:$H,MATCH(F68,'Pricing (Drugs) SS'!$A:$A,0))</f>
        <v>Not on List</v>
      </c>
      <c r="S68" s="124" t="str">
        <f>IF(COUNTIFS('Version and Lists'!$F:$F,F68,'Version and Lists'!$G:$G,$L$22)&gt;0,"X","")</f>
        <v/>
      </c>
    </row>
    <row r="69" spans="1:19" ht="15" customHeight="1" x14ac:dyDescent="0.3">
      <c r="A69" s="185">
        <f>INDEX('McKesson Formulary Calculator'!$A$12:$A$434,MATCH(F69,'McKesson Formulary Calculator'!$F$12:$F$434,0))</f>
        <v>0</v>
      </c>
      <c r="B69" s="186" t="str">
        <f>INDEX('Pricing (Drugs) SS'!$B:$B,MATCH(F69,'Pricing (Drugs) SS'!$A:$A,0))</f>
        <v>DOBUTAMINE INJECTION, USP 250mg PER 20mL VIAL</v>
      </c>
      <c r="C69" s="187" t="str">
        <f>INDEX('Pricing (Drugs) SS'!$E:$E,MATCH(F69,'Pricing (Drugs) SS'!$A:$A,0))</f>
        <v>250mg PER 20mL</v>
      </c>
      <c r="D69" s="188" t="str">
        <f>INDEX('Pricing (Drugs) SS'!$F:$F,MATCH(F69,'Pricing (Drugs) SS'!$A:$A,0))</f>
        <v>20mL</v>
      </c>
      <c r="E69" s="188" t="str">
        <f>INDEX('Pricing (Drugs) SS'!$D:$D,MATCH(F69,'Pricing (Drugs) SS'!$A:$A,0))</f>
        <v>0409-2344-02</v>
      </c>
      <c r="F69" s="189">
        <v>1010100</v>
      </c>
      <c r="G69" s="241">
        <f>INDEX('Pricing (Drugs) SS'!$I:$I,MATCH(F69,'Pricing (Drugs) SS'!$A:$A,0))</f>
        <v>8.3190000000000008</v>
      </c>
      <c r="H69" s="241">
        <f t="shared" si="2"/>
        <v>0</v>
      </c>
      <c r="I69" s="191">
        <f>VLOOKUP(F69,'Price Sheet'!$A:$C,3,FALSE)</f>
        <v>21.8</v>
      </c>
      <c r="J69" s="191"/>
      <c r="K69" s="192">
        <f t="shared" si="6"/>
        <v>21.8</v>
      </c>
      <c r="L69" s="192">
        <f t="shared" si="1"/>
        <v>0</v>
      </c>
      <c r="M69" s="193" t="str">
        <f t="shared" si="3"/>
        <v/>
      </c>
      <c r="N69" s="194" t="str">
        <f t="shared" si="4"/>
        <v/>
      </c>
      <c r="O69" s="194" t="str">
        <f t="shared" si="5"/>
        <v/>
      </c>
      <c r="P69" s="124" t="str">
        <f>INDEX('Pricing (Drugs) SS'!$C:$C,MATCH(F69,'Pricing (Drugs) SS'!$A:$A,0))</f>
        <v>ACTIVE</v>
      </c>
      <c r="Q69" s="124" t="str">
        <f>IF(AND($K$23="Extra DEA Req",S69="X"),"SAFE- CONTROLLED",INDEX('Pricing (Drugs) SS'!$G:$G,MATCH(F69,'Pricing (Drugs) SS'!$A:$A,0)))</f>
        <v>DRUG ROOM</v>
      </c>
      <c r="R69" s="195" t="str">
        <f>INDEX('Pricing (Drugs) SS'!$H:$H,MATCH(F69,'Pricing (Drugs) SS'!$A:$A,0))</f>
        <v>Not on List</v>
      </c>
      <c r="S69" s="124" t="str">
        <f>IF(COUNTIFS('Version and Lists'!$F:$F,F69,'Version and Lists'!$G:$G,$L$22)&gt;0,"X","")</f>
        <v/>
      </c>
    </row>
    <row r="70" spans="1:19" ht="15" customHeight="1" x14ac:dyDescent="0.3">
      <c r="A70" s="185">
        <f>INDEX('McKesson Formulary Calculator'!$A$12:$A$434,MATCH(F70,'McKesson Formulary Calculator'!$F$12:$F$434,0))</f>
        <v>0</v>
      </c>
      <c r="B70" s="186" t="str">
        <f>INDEX('Pricing (Drugs) SS'!$B:$B,MATCH(F70,'Pricing (Drugs) SS'!$A:$A,0))</f>
        <v>DOBUTAMINE HYDROCHLORIDE IN 5% DEXTROSE INJECTION, 250mg PER 250mL (1,000 mcg/mL) 250mL BAG</v>
      </c>
      <c r="C70" s="187" t="str">
        <f>INDEX('Pricing (Drugs) SS'!$E:$E,MATCH(F70,'Pricing (Drugs) SS'!$A:$A,0))</f>
        <v>1,000mcg/mL</v>
      </c>
      <c r="D70" s="188" t="str">
        <f>INDEX('Pricing (Drugs) SS'!$F:$F,MATCH(F70,'Pricing (Drugs) SS'!$A:$A,0))</f>
        <v>250mL</v>
      </c>
      <c r="E70" s="188" t="str">
        <f>INDEX('Pricing (Drugs) SS'!$D:$D,MATCH(F70,'Pricing (Drugs) SS'!$A:$A,0))</f>
        <v>0338-1073-02</v>
      </c>
      <c r="F70" s="189">
        <v>1016380</v>
      </c>
      <c r="G70" s="241">
        <f>INDEX('Pricing (Drugs) SS'!$I:$I,MATCH(F70,'Pricing (Drugs) SS'!$A:$A,0))</f>
        <v>25.8822222222222</v>
      </c>
      <c r="H70" s="241">
        <f t="shared" si="2"/>
        <v>0</v>
      </c>
      <c r="I70" s="191">
        <f>VLOOKUP(F70,'Price Sheet'!$A:$C,3,FALSE)</f>
        <v>94.99</v>
      </c>
      <c r="J70" s="191"/>
      <c r="K70" s="192">
        <f t="shared" si="6"/>
        <v>94.99</v>
      </c>
      <c r="L70" s="192">
        <f t="shared" si="1"/>
        <v>0</v>
      </c>
      <c r="M70" s="193" t="str">
        <f t="shared" si="3"/>
        <v/>
      </c>
      <c r="N70" s="194" t="str">
        <f t="shared" si="4"/>
        <v/>
      </c>
      <c r="O70" s="194" t="str">
        <f t="shared" si="5"/>
        <v/>
      </c>
      <c r="P70" s="124" t="str">
        <f>INDEX('Pricing (Drugs) SS'!$C:$C,MATCH(F70,'Pricing (Drugs) SS'!$A:$A,0))</f>
        <v>ACTIVE</v>
      </c>
      <c r="Q70" s="124" t="str">
        <f>IF(AND($K$23="Extra DEA Req",S70="X"),"SAFE- CONTROLLED",INDEX('Pricing (Drugs) SS'!$G:$G,MATCH(F70,'Pricing (Drugs) SS'!$A:$A,0)))</f>
        <v>DRUG ROOM</v>
      </c>
      <c r="R70" s="195" t="str">
        <f>INDEX('Pricing (Drugs) SS'!$H:$H,MATCH(F70,'Pricing (Drugs) SS'!$A:$A,0))</f>
        <v>Not on List</v>
      </c>
      <c r="S70" s="124" t="str">
        <f>IF(COUNTIFS('Version and Lists'!$F:$F,F70,'Version and Lists'!$G:$G,$L$22)&gt;0,"X","")</f>
        <v/>
      </c>
    </row>
    <row r="71" spans="1:19" ht="15" customHeight="1" x14ac:dyDescent="0.3">
      <c r="A71" s="185">
        <f>INDEX('McKesson Formulary Calculator'!$A$12:$A$434,MATCH(F71,'McKesson Formulary Calculator'!$F$12:$F$434,0))</f>
        <v>0</v>
      </c>
      <c r="B71" s="186" t="str">
        <f>INDEX('Pricing (Drugs) SS'!$B:$B,MATCH(F71,'Pricing (Drugs) SS'!$A:$A,0))</f>
        <v>DOBUTAMINE IN 5% DEXTROSE INJECTION, USP 500mg 250mL BAG</v>
      </c>
      <c r="C71" s="187" t="str">
        <f>INDEX('Pricing (Drugs) SS'!$E:$E,MATCH(F71,'Pricing (Drugs) SS'!$A:$A,0))</f>
        <v>2,000mcg/mL</v>
      </c>
      <c r="D71" s="188" t="str">
        <f>INDEX('Pricing (Drugs) SS'!$F:$F,MATCH(F71,'Pricing (Drugs) SS'!$A:$A,0))</f>
        <v>250mL</v>
      </c>
      <c r="E71" s="188" t="str">
        <f>INDEX('Pricing (Drugs) SS'!$D:$D,MATCH(F71,'Pricing (Drugs) SS'!$A:$A,0))</f>
        <v>0409-2347-32</v>
      </c>
      <c r="F71" s="189">
        <v>1010010</v>
      </c>
      <c r="G71" s="241">
        <f>INDEX('Pricing (Drugs) SS'!$I:$I,MATCH(F71,'Pricing (Drugs) SS'!$A:$A,0))</f>
        <v>39.108333333333299</v>
      </c>
      <c r="H71" s="241">
        <f t="shared" si="2"/>
        <v>0</v>
      </c>
      <c r="I71" s="191">
        <f>VLOOKUP(F71,'Price Sheet'!$A:$C,3,FALSE)</f>
        <v>94.99</v>
      </c>
      <c r="J71" s="191"/>
      <c r="K71" s="192">
        <f t="shared" si="6"/>
        <v>94.99</v>
      </c>
      <c r="L71" s="192">
        <f t="shared" si="1"/>
        <v>0</v>
      </c>
      <c r="M71" s="193" t="str">
        <f t="shared" si="3"/>
        <v/>
      </c>
      <c r="N71" s="194" t="str">
        <f t="shared" si="4"/>
        <v/>
      </c>
      <c r="O71" s="194" t="str">
        <f t="shared" si="5"/>
        <v/>
      </c>
      <c r="P71" s="124" t="str">
        <f>INDEX('Pricing (Drugs) SS'!$C:$C,MATCH(F71,'Pricing (Drugs) SS'!$A:$A,0))</f>
        <v>ACTIVE</v>
      </c>
      <c r="Q71" s="124" t="str">
        <f>IF(AND($K$23="Extra DEA Req",S71="X"),"SAFE- CONTROLLED",INDEX('Pricing (Drugs) SS'!$G:$G,MATCH(F71,'Pricing (Drugs) SS'!$A:$A,0)))</f>
        <v>DRUG ROOM</v>
      </c>
      <c r="R71" s="195" t="str">
        <f>INDEX('Pricing (Drugs) SS'!$H:$H,MATCH(F71,'Pricing (Drugs) SS'!$A:$A,0))</f>
        <v>Not on List</v>
      </c>
      <c r="S71" s="124" t="str">
        <f>IF(COUNTIFS('Version and Lists'!$F:$F,F71,'Version and Lists'!$G:$G,$L$22)&gt;0,"X","")</f>
        <v/>
      </c>
    </row>
    <row r="72" spans="1:19" ht="15" customHeight="1" x14ac:dyDescent="0.3">
      <c r="A72" s="185">
        <f>INDEX('McKesson Formulary Calculator'!$A$12:$A$434,MATCH(F72,'McKesson Formulary Calculator'!$F$12:$F$434,0))</f>
        <v>0</v>
      </c>
      <c r="B72" s="186" t="str">
        <f>INDEX('Pricing (Drugs) SS'!$B:$B,MATCH(F72,'Pricing (Drugs) SS'!$A:$A,0))</f>
        <v>DOPAMINE HCI INJ., USP 200mg (40 mg/mL) 5mL VIAL</v>
      </c>
      <c r="C72" s="187" t="str">
        <f>INDEX('Pricing (Drugs) SS'!$E:$E,MATCH(F72,'Pricing (Drugs) SS'!$A:$A,0))</f>
        <v>40mg/mL</v>
      </c>
      <c r="D72" s="188" t="str">
        <f>INDEX('Pricing (Drugs) SS'!$F:$F,MATCH(F72,'Pricing (Drugs) SS'!$A:$A,0))</f>
        <v>5mL</v>
      </c>
      <c r="E72" s="188" t="str">
        <f>INDEX('Pricing (Drugs) SS'!$D:$D,MATCH(F72,'Pricing (Drugs) SS'!$A:$A,0))</f>
        <v>0409-5820-01</v>
      </c>
      <c r="F72" s="189">
        <v>1007700</v>
      </c>
      <c r="G72" s="241">
        <f>INDEX('Pricing (Drugs) SS'!$I:$I,MATCH(F72,'Pricing (Drugs) SS'!$A:$A,0))</f>
        <v>4.2956000000000003</v>
      </c>
      <c r="H72" s="241">
        <f t="shared" si="2"/>
        <v>0</v>
      </c>
      <c r="I72" s="191">
        <f>VLOOKUP(F72,'Price Sheet'!$A:$C,3,FALSE)</f>
        <v>15.99</v>
      </c>
      <c r="J72" s="191"/>
      <c r="K72" s="192">
        <f t="shared" si="6"/>
        <v>15.99</v>
      </c>
      <c r="L72" s="192">
        <f t="shared" si="1"/>
        <v>0</v>
      </c>
      <c r="M72" s="193" t="str">
        <f t="shared" si="3"/>
        <v/>
      </c>
      <c r="N72" s="194" t="str">
        <f t="shared" si="4"/>
        <v/>
      </c>
      <c r="O72" s="194" t="str">
        <f t="shared" si="5"/>
        <v/>
      </c>
      <c r="P72" s="124" t="str">
        <f>INDEX('Pricing (Drugs) SS'!$C:$C,MATCH(F72,'Pricing (Drugs) SS'!$A:$A,0))</f>
        <v>ACTIVE</v>
      </c>
      <c r="Q72" s="124" t="str">
        <f>IF(AND($K$23="Extra DEA Req",S72="X"),"SAFE- CONTROLLED",INDEX('Pricing (Drugs) SS'!$G:$G,MATCH(F72,'Pricing (Drugs) SS'!$A:$A,0)))</f>
        <v>DRUG ROOM</v>
      </c>
      <c r="R72" s="195" t="str">
        <f>INDEX('Pricing (Drugs) SS'!$H:$H,MATCH(F72,'Pricing (Drugs) SS'!$A:$A,0))</f>
        <v>Not on List</v>
      </c>
      <c r="S72" s="124" t="str">
        <f>IF(COUNTIFS('Version and Lists'!$F:$F,F72,'Version and Lists'!$G:$G,$L$22)&gt;0,"X","")</f>
        <v/>
      </c>
    </row>
    <row r="73" spans="1:19" ht="15" customHeight="1" x14ac:dyDescent="0.3">
      <c r="A73" s="185">
        <f>INDEX('McKesson Formulary Calculator'!$A$12:$A$434,MATCH(F73,'McKesson Formulary Calculator'!$F$12:$F$434,0))</f>
        <v>0</v>
      </c>
      <c r="B73" s="186" t="str">
        <f>INDEX('Pricing (Drugs) SS'!$B:$B,MATCH(F73,'Pricing (Drugs) SS'!$A:$A,0))</f>
        <v>DOPAMINE HCI INJ., USP 400mg (40mg/mL) 10mL VIAL</v>
      </c>
      <c r="C73" s="187" t="str">
        <f>INDEX('Pricing (Drugs) SS'!$E:$E,MATCH(F73,'Pricing (Drugs) SS'!$A:$A,0))</f>
        <v>40mg/mL</v>
      </c>
      <c r="D73" s="188" t="str">
        <f>INDEX('Pricing (Drugs) SS'!$F:$F,MATCH(F73,'Pricing (Drugs) SS'!$A:$A,0))</f>
        <v>10mL</v>
      </c>
      <c r="E73" s="188" t="str">
        <f>INDEX('Pricing (Drugs) SS'!$D:$D,MATCH(F73,'Pricing (Drugs) SS'!$A:$A,0))</f>
        <v>0409-9104-20</v>
      </c>
      <c r="F73" s="189">
        <v>1000210</v>
      </c>
      <c r="G73" s="241">
        <f>INDEX('Pricing (Drugs) SS'!$I:$I,MATCH(F73,'Pricing (Drugs) SS'!$A:$A,0))</f>
        <v>8.0272000000000006</v>
      </c>
      <c r="H73" s="241">
        <f t="shared" si="2"/>
        <v>0</v>
      </c>
      <c r="I73" s="191">
        <f>VLOOKUP(F73,'Price Sheet'!$A:$C,3,FALSE)</f>
        <v>35.090000000000003</v>
      </c>
      <c r="J73" s="191"/>
      <c r="K73" s="192">
        <f t="shared" si="6"/>
        <v>35.090000000000003</v>
      </c>
      <c r="L73" s="192">
        <f t="shared" si="1"/>
        <v>0</v>
      </c>
      <c r="M73" s="193" t="str">
        <f t="shared" si="3"/>
        <v/>
      </c>
      <c r="N73" s="194" t="str">
        <f t="shared" si="4"/>
        <v/>
      </c>
      <c r="O73" s="194" t="str">
        <f t="shared" si="5"/>
        <v/>
      </c>
      <c r="P73" s="124" t="str">
        <f>INDEX('Pricing (Drugs) SS'!$C:$C,MATCH(F73,'Pricing (Drugs) SS'!$A:$A,0))</f>
        <v>ACTIVE</v>
      </c>
      <c r="Q73" s="124" t="str">
        <f>IF(AND($K$23="Extra DEA Req",S73="X"),"SAFE- CONTROLLED",INDEX('Pricing (Drugs) SS'!$G:$G,MATCH(F73,'Pricing (Drugs) SS'!$A:$A,0)))</f>
        <v>DRUG ROOM</v>
      </c>
      <c r="R73" s="195" t="str">
        <f>INDEX('Pricing (Drugs) SS'!$H:$H,MATCH(F73,'Pricing (Drugs) SS'!$A:$A,0))</f>
        <v>Not on List</v>
      </c>
      <c r="S73" s="124" t="str">
        <f>IF(COUNTIFS('Version and Lists'!$F:$F,F73,'Version and Lists'!$G:$G,$L$22)&gt;0,"X","")</f>
        <v/>
      </c>
    </row>
    <row r="74" spans="1:19" ht="15" customHeight="1" x14ac:dyDescent="0.3">
      <c r="A74" s="185">
        <f>INDEX('McKesson Formulary Calculator'!$A$12:$A$434,MATCH(F74,'McKesson Formulary Calculator'!$F$12:$F$434,0))</f>
        <v>0</v>
      </c>
      <c r="B74" s="186" t="str">
        <f>INDEX('Pricing (Drugs) SS'!$B:$B,MATCH(F74,'Pricing (Drugs) SS'!$A:$A,0))</f>
        <v>DOPAMINE HYDROCHLORIDE INJECTION, USP 400mg/10mL (40mg/mL) 10mL VIAL</v>
      </c>
      <c r="C74" s="187" t="str">
        <f>INDEX('Pricing (Drugs) SS'!$E:$E,MATCH(F74,'Pricing (Drugs) SS'!$A:$A,0))</f>
        <v>40mg/mL</v>
      </c>
      <c r="D74" s="188" t="str">
        <f>INDEX('Pricing (Drugs) SS'!$F:$F,MATCH(F74,'Pricing (Drugs) SS'!$A:$A,0))</f>
        <v>10mL</v>
      </c>
      <c r="E74" s="188" t="str">
        <f>INDEX('Pricing (Drugs) SS'!$D:$D,MATCH(F74,'Pricing (Drugs) SS'!$A:$A,0))</f>
        <v>0143-9254-25</v>
      </c>
      <c r="F74" s="189">
        <v>1013490</v>
      </c>
      <c r="G74" s="241">
        <f>INDEX('Pricing (Drugs) SS'!$I:$I,MATCH(F74,'Pricing (Drugs) SS'!$A:$A,0))</f>
        <v>2.85</v>
      </c>
      <c r="H74" s="241">
        <f t="shared" si="2"/>
        <v>0</v>
      </c>
      <c r="I74" s="191">
        <f>VLOOKUP(F74,'Price Sheet'!$A:$C,3,FALSE)</f>
        <v>35.090000000000003</v>
      </c>
      <c r="J74" s="191"/>
      <c r="K74" s="192">
        <f t="shared" si="6"/>
        <v>35.090000000000003</v>
      </c>
      <c r="L74" s="192">
        <f t="shared" si="1"/>
        <v>0</v>
      </c>
      <c r="M74" s="193" t="str">
        <f t="shared" si="3"/>
        <v/>
      </c>
      <c r="N74" s="194" t="str">
        <f t="shared" si="4"/>
        <v/>
      </c>
      <c r="O74" s="194" t="str">
        <f t="shared" si="5"/>
        <v/>
      </c>
      <c r="P74" s="124" t="str">
        <f>INDEX('Pricing (Drugs) SS'!$C:$C,MATCH(F74,'Pricing (Drugs) SS'!$A:$A,0))</f>
        <v>ACTIVE</v>
      </c>
      <c r="Q74" s="124" t="str">
        <f>IF(AND($K$23="Extra DEA Req",S74="X"),"SAFE- CONTROLLED",INDEX('Pricing (Drugs) SS'!$G:$G,MATCH(F74,'Pricing (Drugs) SS'!$A:$A,0)))</f>
        <v>DRUG ROOM</v>
      </c>
      <c r="R74" s="195" t="str">
        <f>INDEX('Pricing (Drugs) SS'!$H:$H,MATCH(F74,'Pricing (Drugs) SS'!$A:$A,0))</f>
        <v>Not on List</v>
      </c>
      <c r="S74" s="124" t="str">
        <f>IF(COUNTIFS('Version and Lists'!$F:$F,F74,'Version and Lists'!$G:$G,$L$22)&gt;0,"X","")</f>
        <v/>
      </c>
    </row>
    <row r="75" spans="1:19" ht="15" customHeight="1" x14ac:dyDescent="0.3">
      <c r="A75" s="185">
        <f>INDEX('McKesson Formulary Calculator'!$A$12:$A$434,MATCH(F75,'McKesson Formulary Calculator'!$F$12:$F$434,0))</f>
        <v>0</v>
      </c>
      <c r="B75" s="186" t="str">
        <f>INDEX('Pricing (Drugs) SS'!$B:$B,MATCH(F75,'Pricing (Drugs) SS'!$A:$A,0))</f>
        <v>DOPAMINE HYDROCHLORIDE IN 5% DEXTROSE INJECTION, USP 400mg 250mL BAG</v>
      </c>
      <c r="C75" s="187" t="str">
        <f>INDEX('Pricing (Drugs) SS'!$E:$E,MATCH(F75,'Pricing (Drugs) SS'!$A:$A,0))</f>
        <v>400mg</v>
      </c>
      <c r="D75" s="188" t="str">
        <f>INDEX('Pricing (Drugs) SS'!$F:$F,MATCH(F75,'Pricing (Drugs) SS'!$A:$A,0))</f>
        <v>250mL</v>
      </c>
      <c r="E75" s="188" t="str">
        <f>INDEX('Pricing (Drugs) SS'!$D:$D,MATCH(F75,'Pricing (Drugs) SS'!$A:$A,0))</f>
        <v>0409-7809-22</v>
      </c>
      <c r="F75" s="189">
        <v>1009740</v>
      </c>
      <c r="G75" s="241">
        <f>INDEX('Pricing (Drugs) SS'!$I:$I,MATCH(F75,'Pricing (Drugs) SS'!$A:$A,0))</f>
        <v>15.8725</v>
      </c>
      <c r="H75" s="241">
        <f t="shared" si="2"/>
        <v>0</v>
      </c>
      <c r="I75" s="191">
        <f>VLOOKUP(F75,'Price Sheet'!$A:$C,3,FALSE)</f>
        <v>32.950000000000003</v>
      </c>
      <c r="J75" s="191"/>
      <c r="K75" s="192">
        <f t="shared" si="6"/>
        <v>32.950000000000003</v>
      </c>
      <c r="L75" s="192">
        <f t="shared" si="1"/>
        <v>0</v>
      </c>
      <c r="M75" s="193" t="str">
        <f t="shared" si="3"/>
        <v/>
      </c>
      <c r="N75" s="194" t="str">
        <f t="shared" si="4"/>
        <v/>
      </c>
      <c r="O75" s="194" t="str">
        <f t="shared" si="5"/>
        <v/>
      </c>
      <c r="P75" s="124" t="str">
        <f>INDEX('Pricing (Drugs) SS'!$C:$C,MATCH(F75,'Pricing (Drugs) SS'!$A:$A,0))</f>
        <v>ACTIVE</v>
      </c>
      <c r="Q75" s="124" t="str">
        <f>IF(AND($K$23="Extra DEA Req",S75="X"),"SAFE- CONTROLLED",INDEX('Pricing (Drugs) SS'!$G:$G,MATCH(F75,'Pricing (Drugs) SS'!$A:$A,0)))</f>
        <v>DRUG ROOM</v>
      </c>
      <c r="R75" s="195" t="str">
        <f>INDEX('Pricing (Drugs) SS'!$H:$H,MATCH(F75,'Pricing (Drugs) SS'!$A:$A,0))</f>
        <v>Not on List</v>
      </c>
      <c r="S75" s="124" t="str">
        <f>IF(COUNTIFS('Version and Lists'!$F:$F,F75,'Version and Lists'!$G:$G,$L$22)&gt;0,"X","")</f>
        <v/>
      </c>
    </row>
    <row r="76" spans="1:19" ht="15" customHeight="1" x14ac:dyDescent="0.3">
      <c r="A76" s="185">
        <f>INDEX('McKesson Formulary Calculator'!$A$12:$A$434,MATCH(F76,'McKesson Formulary Calculator'!$F$12:$F$434,0))</f>
        <v>0</v>
      </c>
      <c r="B76" s="186" t="str">
        <f>INDEX('Pricing (Drugs) SS'!$B:$B,MATCH(F76,'Pricing (Drugs) SS'!$A:$A,0))</f>
        <v>DOPAMINE HCI IN 5% DEXTROSE INJECTION, USP 800mg/500mL (1,600mcg/mL) 500mL BAG</v>
      </c>
      <c r="C76" s="187" t="str">
        <f>INDEX('Pricing (Drugs) SS'!$E:$E,MATCH(F76,'Pricing (Drugs) SS'!$A:$A,0))</f>
        <v>1600mcg/mL</v>
      </c>
      <c r="D76" s="188" t="str">
        <f>INDEX('Pricing (Drugs) SS'!$F:$F,MATCH(F76,'Pricing (Drugs) SS'!$A:$A,0))</f>
        <v>500mL</v>
      </c>
      <c r="E76" s="188" t="str">
        <f>INDEX('Pricing (Drugs) SS'!$D:$D,MATCH(F76,'Pricing (Drugs) SS'!$A:$A,0))</f>
        <v>0409-7809-24</v>
      </c>
      <c r="F76" s="189">
        <v>1012780</v>
      </c>
      <c r="G76" s="241">
        <f>INDEX('Pricing (Drugs) SS'!$I:$I,MATCH(F76,'Pricing (Drugs) SS'!$A:$A,0))</f>
        <v>20.9575</v>
      </c>
      <c r="H76" s="241">
        <f t="shared" si="2"/>
        <v>0</v>
      </c>
      <c r="I76" s="191">
        <f>VLOOKUP(F76,'Price Sheet'!$A:$C,3,FALSE)</f>
        <v>54.99</v>
      </c>
      <c r="J76" s="191"/>
      <c r="K76" s="192">
        <f t="shared" si="6"/>
        <v>54.99</v>
      </c>
      <c r="L76" s="192">
        <f t="shared" si="1"/>
        <v>0</v>
      </c>
      <c r="M76" s="193" t="str">
        <f t="shared" si="3"/>
        <v/>
      </c>
      <c r="N76" s="194" t="str">
        <f t="shared" si="4"/>
        <v/>
      </c>
      <c r="O76" s="194" t="str">
        <f t="shared" si="5"/>
        <v/>
      </c>
      <c r="P76" s="124" t="str">
        <f>INDEX('Pricing (Drugs) SS'!$C:$C,MATCH(F76,'Pricing (Drugs) SS'!$A:$A,0))</f>
        <v>ACTIVE</v>
      </c>
      <c r="Q76" s="124" t="str">
        <f>IF(AND($K$23="Extra DEA Req",S76="X"),"SAFE- CONTROLLED",INDEX('Pricing (Drugs) SS'!$G:$G,MATCH(F76,'Pricing (Drugs) SS'!$A:$A,0)))</f>
        <v>DRUG ROOM</v>
      </c>
      <c r="R76" s="195" t="str">
        <f>INDEX('Pricing (Drugs) SS'!$H:$H,MATCH(F76,'Pricing (Drugs) SS'!$A:$A,0))</f>
        <v>Not on List</v>
      </c>
      <c r="S76" s="124" t="str">
        <f>IF(COUNTIFS('Version and Lists'!$F:$F,F76,'Version and Lists'!$G:$G,$L$22)&gt;0,"X","")</f>
        <v/>
      </c>
    </row>
    <row r="77" spans="1:19" s="64" customFormat="1" ht="15" customHeight="1" x14ac:dyDescent="0.3">
      <c r="A77" s="185">
        <f>INDEX('McKesson Formulary Calculator'!$A$12:$A$434,MATCH(F77,'McKesson Formulary Calculator'!$F$12:$F$434,0))</f>
        <v>0</v>
      </c>
      <c r="B77" s="186" t="str">
        <f>INDEX('Pricing (Drugs) SS'!$B:$B,MATCH(F77,'Pricing (Drugs) SS'!$A:$A,0))</f>
        <v>DOXY 100™ DOXYCYCLINE FOR INJECTION, USP 100mg per VIAL 20mL VIAL</v>
      </c>
      <c r="C77" s="187" t="str">
        <f>INDEX('Pricing (Drugs) SS'!$E:$E,MATCH(F77,'Pricing (Drugs) SS'!$A:$A,0))</f>
        <v>100mg</v>
      </c>
      <c r="D77" s="188" t="str">
        <f>INDEX('Pricing (Drugs) SS'!$F:$F,MATCH(F77,'Pricing (Drugs) SS'!$A:$A,0))</f>
        <v>20mL</v>
      </c>
      <c r="E77" s="188" t="str">
        <f>INDEX('Pricing (Drugs) SS'!$D:$D,MATCH(F77,'Pricing (Drugs) SS'!$A:$A,0))</f>
        <v>63323-130-11</v>
      </c>
      <c r="F77" s="189">
        <v>1011980</v>
      </c>
      <c r="G77" s="241">
        <f>INDEX('Pricing (Drugs) SS'!$I:$I,MATCH(F77,'Pricing (Drugs) SS'!$A:$A,0))</f>
        <v>26.33</v>
      </c>
      <c r="H77" s="241">
        <f t="shared" si="2"/>
        <v>0</v>
      </c>
      <c r="I77" s="191">
        <f>VLOOKUP(F77,'Price Sheet'!$A:$C,3,FALSE)</f>
        <v>78.989999999999995</v>
      </c>
      <c r="J77" s="191"/>
      <c r="K77" s="192">
        <f t="shared" si="6"/>
        <v>78.989999999999995</v>
      </c>
      <c r="L77" s="192">
        <f t="shared" si="1"/>
        <v>0</v>
      </c>
      <c r="M77" s="193" t="str">
        <f t="shared" si="3"/>
        <v/>
      </c>
      <c r="N77" s="194" t="str">
        <f t="shared" si="4"/>
        <v/>
      </c>
      <c r="O77" s="194" t="str">
        <f t="shared" si="5"/>
        <v/>
      </c>
      <c r="P77" s="124" t="str">
        <f>INDEX('Pricing (Drugs) SS'!$C:$C,MATCH(F77,'Pricing (Drugs) SS'!$A:$A,0))</f>
        <v>ACTIVE</v>
      </c>
      <c r="Q77" s="124" t="str">
        <f>IF(AND($K$23="Extra DEA Req",S77="X"),"SAFE- CONTROLLED",INDEX('Pricing (Drugs) SS'!$G:$G,MATCH(F77,'Pricing (Drugs) SS'!$A:$A,0)))</f>
        <v>DRUG ROOM</v>
      </c>
      <c r="R77" s="195" t="str">
        <f>INDEX('Pricing (Drugs) SS'!$H:$H,MATCH(F77,'Pricing (Drugs) SS'!$A:$A,0))</f>
        <v>Not on List</v>
      </c>
      <c r="S77" s="124" t="str">
        <f>IF(COUNTIFS('Version and Lists'!$F:$F,F77,'Version and Lists'!$G:$G,$L$22)&gt;0,"X","")</f>
        <v/>
      </c>
    </row>
    <row r="78" spans="1:19" s="198" customFormat="1" ht="15" customHeight="1" x14ac:dyDescent="0.3">
      <c r="A78" s="185">
        <f>INDEX('McKesson Formulary Calculator'!$A$12:$A$434,MATCH(F78,'McKesson Formulary Calculator'!$F$12:$F$434,0))</f>
        <v>0</v>
      </c>
      <c r="B78" s="186" t="str">
        <f>INDEX('Pricing (Drugs) SS'!$B:$B,MATCH(F78,'Pricing (Drugs) SS'!$A:$A,0))</f>
        <v>ENALAPRILAT INJECTION 1.25mg/mL 1mL VIAL</v>
      </c>
      <c r="C78" s="187" t="str">
        <f>INDEX('Pricing (Drugs) SS'!$E:$E,MATCH(F78,'Pricing (Drugs) SS'!$A:$A,0))</f>
        <v>1.25mg/mL</v>
      </c>
      <c r="D78" s="188" t="str">
        <f>INDEX('Pricing (Drugs) SS'!$F:$F,MATCH(F78,'Pricing (Drugs) SS'!$A:$A,0))</f>
        <v>1mL</v>
      </c>
      <c r="E78" s="188" t="str">
        <f>INDEX('Pricing (Drugs) SS'!$D:$D,MATCH(F78,'Pricing (Drugs) SS'!$A:$A,0))</f>
        <v>0143-9787-10</v>
      </c>
      <c r="F78" s="189">
        <v>1012970</v>
      </c>
      <c r="G78" s="241">
        <f>INDEX('Pricing (Drugs) SS'!$I:$I,MATCH(F78,'Pricing (Drugs) SS'!$A:$A,0))</f>
        <v>4.7779999999999996</v>
      </c>
      <c r="H78" s="241">
        <f t="shared" si="2"/>
        <v>0</v>
      </c>
      <c r="I78" s="191">
        <f>VLOOKUP(F78,'Price Sheet'!$A:$C,3,FALSE)</f>
        <v>20.82</v>
      </c>
      <c r="J78" s="191"/>
      <c r="K78" s="192">
        <f t="shared" si="6"/>
        <v>20.82</v>
      </c>
      <c r="L78" s="192">
        <f t="shared" si="1"/>
        <v>0</v>
      </c>
      <c r="M78" s="193" t="str">
        <f t="shared" si="3"/>
        <v/>
      </c>
      <c r="N78" s="194" t="str">
        <f t="shared" si="4"/>
        <v/>
      </c>
      <c r="O78" s="194" t="str">
        <f t="shared" si="5"/>
        <v/>
      </c>
      <c r="P78" s="124" t="str">
        <f>INDEX('Pricing (Drugs) SS'!$C:$C,MATCH(F78,'Pricing (Drugs) SS'!$A:$A,0))</f>
        <v>ACTIVE</v>
      </c>
      <c r="Q78" s="124" t="str">
        <f>IF(AND($K$23="Extra DEA Req",S78="X"),"SAFE- CONTROLLED",INDEX('Pricing (Drugs) SS'!$G:$G,MATCH(F78,'Pricing (Drugs) SS'!$A:$A,0)))</f>
        <v>DRUG ROOM</v>
      </c>
      <c r="R78" s="195" t="str">
        <f>INDEX('Pricing (Drugs) SS'!$H:$H,MATCH(F78,'Pricing (Drugs) SS'!$A:$A,0))</f>
        <v>Not on List</v>
      </c>
      <c r="S78" s="124" t="str">
        <f>IF(COUNTIFS('Version and Lists'!$F:$F,F78,'Version and Lists'!$G:$G,$L$22)&gt;0,"X","")</f>
        <v/>
      </c>
    </row>
    <row r="79" spans="1:19" ht="15" customHeight="1" x14ac:dyDescent="0.3">
      <c r="A79" s="185">
        <f>INDEX('McKesson Formulary Calculator'!$A$12:$A$434,MATCH(F79,'McKesson Formulary Calculator'!$F$12:$F$434,0))</f>
        <v>0</v>
      </c>
      <c r="B79" s="186" t="str">
        <f>INDEX('Pricing (Drugs) SS'!$B:$B,MATCH(F79,'Pricing (Drugs) SS'!$A:$A,0))</f>
        <v>EPHEDRINE SULFATE INJECTIONS, USP 50 mg/mL 1mL VIAL</v>
      </c>
      <c r="C79" s="187" t="str">
        <f>INDEX('Pricing (Drugs) SS'!$E:$E,MATCH(F79,'Pricing (Drugs) SS'!$A:$A,0))</f>
        <v>50 mg/mL</v>
      </c>
      <c r="D79" s="188" t="str">
        <f>INDEX('Pricing (Drugs) SS'!$F:$F,MATCH(F79,'Pricing (Drugs) SS'!$A:$A,0))</f>
        <v>1mL</v>
      </c>
      <c r="E79" s="188" t="str">
        <f>INDEX('Pricing (Drugs) SS'!$D:$D,MATCH(F79,'Pricing (Drugs) SS'!$A:$A,0))</f>
        <v>42023-216-25</v>
      </c>
      <c r="F79" s="189">
        <v>1009960</v>
      </c>
      <c r="G79" s="241">
        <f>INDEX('Pricing (Drugs) SS'!$I:$I,MATCH(F79,'Pricing (Drugs) SS'!$A:$A,0))</f>
        <v>29.04</v>
      </c>
      <c r="H79" s="241">
        <f t="shared" si="2"/>
        <v>0</v>
      </c>
      <c r="I79" s="191">
        <f>VLOOKUP(F79,'Price Sheet'!$A:$C,3,FALSE)</f>
        <v>95.99</v>
      </c>
      <c r="J79" s="191"/>
      <c r="K79" s="192">
        <f t="shared" si="6"/>
        <v>95.99</v>
      </c>
      <c r="L79" s="192">
        <f t="shared" si="1"/>
        <v>0</v>
      </c>
      <c r="M79" s="193" t="str">
        <f t="shared" si="3"/>
        <v/>
      </c>
      <c r="N79" s="194" t="str">
        <f t="shared" si="4"/>
        <v>X</v>
      </c>
      <c r="O79" s="194" t="str">
        <f t="shared" si="5"/>
        <v>X</v>
      </c>
      <c r="P79" s="124" t="str">
        <f>INDEX('Pricing (Drugs) SS'!$C:$C,MATCH(F79,'Pricing (Drugs) SS'!$A:$A,0))</f>
        <v>ACTIVE</v>
      </c>
      <c r="Q79" s="124" t="str">
        <f>IF(AND($K$23="Extra DEA Req",S79="X"),"SAFE- CONTROLLED",INDEX('Pricing (Drugs) SS'!$G:$G,MATCH(F79,'Pricing (Drugs) SS'!$A:$A,0)))</f>
        <v>SAFE- CONTROLLED</v>
      </c>
      <c r="R79" s="195" t="str">
        <f>INDEX('Pricing (Drugs) SS'!$H:$H,MATCH(F79,'Pricing (Drugs) SS'!$A:$A,0))</f>
        <v>Lethal Injection Drug</v>
      </c>
      <c r="S79" s="124" t="str">
        <f>IF(COUNTIFS('Version and Lists'!$F:$F,F79,'Version and Lists'!$G:$G,$L$22)&gt;0,"X","")</f>
        <v/>
      </c>
    </row>
    <row r="80" spans="1:19" ht="15" customHeight="1" x14ac:dyDescent="0.3">
      <c r="A80" s="185">
        <f>INDEX('McKesson Formulary Calculator'!$A$12:$A$434,MATCH(F80,'McKesson Formulary Calculator'!$F$12:$F$434,0))</f>
        <v>0</v>
      </c>
      <c r="B80" s="186" t="str">
        <f>INDEX('Pricing (Drugs) SS'!$B:$B,MATCH(F80,'Pricing (Drugs) SS'!$A:$A,0))</f>
        <v>AUVI-Q® EPINEPHRINE INJECTION, USP 0.15mg AUTO INJECTOR</v>
      </c>
      <c r="C80" s="187" t="str">
        <f>INDEX('Pricing (Drugs) SS'!$E:$E,MATCH(F80,'Pricing (Drugs) SS'!$A:$A,0))</f>
        <v>.15mg/.15mL</v>
      </c>
      <c r="D80" s="188" t="str">
        <f>INDEX('Pricing (Drugs) SS'!$F:$F,MATCH(F80,'Pricing (Drugs) SS'!$A:$A,0))</f>
        <v>0.76mL</v>
      </c>
      <c r="E80" s="188" t="str">
        <f>INDEX('Pricing (Drugs) SS'!$D:$D,MATCH(F80,'Pricing (Drugs) SS'!$A:$A,0))</f>
        <v>60842-022-02</v>
      </c>
      <c r="F80" s="189">
        <v>1023450</v>
      </c>
      <c r="G80" s="241">
        <f>INDEX('Pricing (Drugs) SS'!$I:$I,MATCH(F80,'Pricing (Drugs) SS'!$A:$A,0))</f>
        <v>90.415000000000006</v>
      </c>
      <c r="H80" s="241">
        <f t="shared" si="2"/>
        <v>0</v>
      </c>
      <c r="I80" s="191">
        <f>VLOOKUP(F80,'Price Sheet'!$A:$C,3,FALSE)</f>
        <v>318.99</v>
      </c>
      <c r="J80" s="191"/>
      <c r="K80" s="192">
        <f t="shared" si="6"/>
        <v>318.99</v>
      </c>
      <c r="L80" s="192">
        <f t="shared" si="1"/>
        <v>0</v>
      </c>
      <c r="M80" s="193" t="str">
        <f t="shared" si="3"/>
        <v/>
      </c>
      <c r="N80" s="194" t="str">
        <f t="shared" si="4"/>
        <v/>
      </c>
      <c r="O80" s="194" t="str">
        <f t="shared" si="5"/>
        <v/>
      </c>
      <c r="P80" s="124" t="str">
        <f>INDEX('Pricing (Drugs) SS'!$C:$C,MATCH(F80,'Pricing (Drugs) SS'!$A:$A,0))</f>
        <v>RESTRICTED</v>
      </c>
      <c r="Q80" s="124" t="str">
        <f>IF(AND($K$23="Extra DEA Req",S80="X"),"SAFE- CONTROLLED",INDEX('Pricing (Drugs) SS'!$G:$G,MATCH(F80,'Pricing (Drugs) SS'!$A:$A,0)))</f>
        <v>DRUG ROOM</v>
      </c>
      <c r="R80" s="195" t="str">
        <f>INDEX('Pricing (Drugs) SS'!$H:$H,MATCH(F80,'Pricing (Drugs) SS'!$A:$A,0))</f>
        <v>Not on List</v>
      </c>
      <c r="S80" s="124" t="str">
        <f>IF(COUNTIFS('Version and Lists'!$F:$F,F80,'Version and Lists'!$G:$G,$L$22)&gt;0,"X","")</f>
        <v/>
      </c>
    </row>
    <row r="81" spans="1:19" ht="15" customHeight="1" x14ac:dyDescent="0.3">
      <c r="A81" s="185">
        <f>INDEX('McKesson Formulary Calculator'!$A$12:$A$434,MATCH(F81,'McKesson Formulary Calculator'!$F$12:$F$434,0))</f>
        <v>0</v>
      </c>
      <c r="B81" s="186" t="str">
        <f>INDEX('Pricing (Drugs) SS'!$B:$B,MATCH(F81,'Pricing (Drugs) SS'!$A:$A,0))</f>
        <v>AUVI-Q® EPINEPHRINE INJECTION, USP 0.3mg AUTO INJECTOR</v>
      </c>
      <c r="C81" s="187" t="str">
        <f>INDEX('Pricing (Drugs) SS'!$E:$E,MATCH(F81,'Pricing (Drugs) SS'!$A:$A,0))</f>
        <v>.3mg/.3mL</v>
      </c>
      <c r="D81" s="188" t="str">
        <f>INDEX('Pricing (Drugs) SS'!$F:$F,MATCH(F81,'Pricing (Drugs) SS'!$A:$A,0))</f>
        <v>0.76mL</v>
      </c>
      <c r="E81" s="188" t="str">
        <f>INDEX('Pricing (Drugs) SS'!$D:$D,MATCH(F81,'Pricing (Drugs) SS'!$A:$A,0))</f>
        <v>60842-023-02</v>
      </c>
      <c r="F81" s="189">
        <v>1023460</v>
      </c>
      <c r="G81" s="241">
        <f>INDEX('Pricing (Drugs) SS'!$I:$I,MATCH(F81,'Pricing (Drugs) SS'!$A:$A,0))</f>
        <v>90.415000000000006</v>
      </c>
      <c r="H81" s="241">
        <f t="shared" si="2"/>
        <v>0</v>
      </c>
      <c r="I81" s="191">
        <f>VLOOKUP(F81,'Price Sheet'!$A:$C,3,FALSE)</f>
        <v>318.99</v>
      </c>
      <c r="J81" s="191"/>
      <c r="K81" s="192">
        <f t="shared" si="6"/>
        <v>318.99</v>
      </c>
      <c r="L81" s="192">
        <f t="shared" si="1"/>
        <v>0</v>
      </c>
      <c r="M81" s="193" t="str">
        <f t="shared" si="3"/>
        <v/>
      </c>
      <c r="N81" s="194" t="str">
        <f t="shared" si="4"/>
        <v/>
      </c>
      <c r="O81" s="194" t="str">
        <f t="shared" si="5"/>
        <v/>
      </c>
      <c r="P81" s="124" t="str">
        <f>INDEX('Pricing (Drugs) SS'!$C:$C,MATCH(F81,'Pricing (Drugs) SS'!$A:$A,0))</f>
        <v>RESTRICTED</v>
      </c>
      <c r="Q81" s="124" t="str">
        <f>IF(AND($K$23="Extra DEA Req",S81="X"),"SAFE- CONTROLLED",INDEX('Pricing (Drugs) SS'!$G:$G,MATCH(F81,'Pricing (Drugs) SS'!$A:$A,0)))</f>
        <v>DRUG ROOM</v>
      </c>
      <c r="R81" s="195" t="str">
        <f>INDEX('Pricing (Drugs) SS'!$H:$H,MATCH(F81,'Pricing (Drugs) SS'!$A:$A,0))</f>
        <v>Not on List</v>
      </c>
      <c r="S81" s="124" t="str">
        <f>IF(COUNTIFS('Version and Lists'!$F:$F,F81,'Version and Lists'!$G:$G,$L$22)&gt;0,"X","")</f>
        <v/>
      </c>
    </row>
    <row r="82" spans="1:19" ht="15" customHeight="1" x14ac:dyDescent="0.3">
      <c r="A82" s="185">
        <f>INDEX('McKesson Formulary Calculator'!$A$12:$A$434,MATCH(F82,'McKesson Formulary Calculator'!$F$12:$F$434,0))</f>
        <v>0</v>
      </c>
      <c r="B82" s="186" t="str">
        <f>INDEX('Pricing (Drugs) SS'!$B:$B,MATCH(F82,'Pricing (Drugs) SS'!$A:$A,0))</f>
        <v>ADRENALIN® (EPINEPHRINE INJECTION, USP) 1mg/mL 1:1000 VIAL</v>
      </c>
      <c r="C82" s="187" t="str">
        <f>INDEX('Pricing (Drugs) SS'!$E:$E,MATCH(F82,'Pricing (Drugs) SS'!$A:$A,0))</f>
        <v>1mg/mL 1:1000</v>
      </c>
      <c r="D82" s="188" t="str">
        <f>INDEX('Pricing (Drugs) SS'!$F:$F,MATCH(F82,'Pricing (Drugs) SS'!$A:$A,0))</f>
        <v>1mL</v>
      </c>
      <c r="E82" s="188" t="str">
        <f>INDEX('Pricing (Drugs) SS'!$D:$D,MATCH(F82,'Pricing (Drugs) SS'!$A:$A,0))</f>
        <v>42023-159-25</v>
      </c>
      <c r="F82" s="189">
        <v>1007670</v>
      </c>
      <c r="G82" s="241">
        <f>INDEX('Pricing (Drugs) SS'!$I:$I,MATCH(F82,'Pricing (Drugs) SS'!$A:$A,0))</f>
        <v>8.1999999999999993</v>
      </c>
      <c r="H82" s="241">
        <f t="shared" si="2"/>
        <v>0</v>
      </c>
      <c r="I82" s="191">
        <f>VLOOKUP(F82,'Price Sheet'!$A:$C,3,FALSE)</f>
        <v>45.99</v>
      </c>
      <c r="J82" s="191"/>
      <c r="K82" s="192">
        <f t="shared" si="6"/>
        <v>45.99</v>
      </c>
      <c r="L82" s="192">
        <f t="shared" si="1"/>
        <v>0</v>
      </c>
      <c r="M82" s="193" t="str">
        <f t="shared" si="3"/>
        <v/>
      </c>
      <c r="N82" s="194" t="str">
        <f t="shared" si="4"/>
        <v/>
      </c>
      <c r="O82" s="194" t="str">
        <f t="shared" si="5"/>
        <v/>
      </c>
      <c r="P82" s="124" t="str">
        <f>INDEX('Pricing (Drugs) SS'!$C:$C,MATCH(F82,'Pricing (Drugs) SS'!$A:$A,0))</f>
        <v>ACTIVE</v>
      </c>
      <c r="Q82" s="124" t="str">
        <f>IF(AND($K$23="Extra DEA Req",S82="X"),"SAFE- CONTROLLED",INDEX('Pricing (Drugs) SS'!$G:$G,MATCH(F82,'Pricing (Drugs) SS'!$A:$A,0)))</f>
        <v>DRUG ROOM</v>
      </c>
      <c r="R82" s="195" t="str">
        <f>INDEX('Pricing (Drugs) SS'!$H:$H,MATCH(F82,'Pricing (Drugs) SS'!$A:$A,0))</f>
        <v>Not on List</v>
      </c>
      <c r="S82" s="124" t="str">
        <f>IF(COUNTIFS('Version and Lists'!$F:$F,F82,'Version and Lists'!$G:$G,$L$22)&gt;0,"X","")</f>
        <v/>
      </c>
    </row>
    <row r="83" spans="1:19" ht="15" customHeight="1" x14ac:dyDescent="0.3">
      <c r="A83" s="185">
        <f>INDEX('McKesson Formulary Calculator'!$A$12:$A$434,MATCH(F83,'McKesson Formulary Calculator'!$F$12:$F$434,0))</f>
        <v>0</v>
      </c>
      <c r="B83" s="186" t="str">
        <f>INDEX('Pricing (Drugs) SS'!$B:$B,MATCH(F83,'Pricing (Drugs) SS'!$A:$A,0))</f>
        <v>EPINEPHRINE INJ. USP, 0.1 mg/mL 1mg per 10mL LUER-JET™ SYR</v>
      </c>
      <c r="C83" s="187" t="str">
        <f>INDEX('Pricing (Drugs) SS'!$E:$E,MATCH(F83,'Pricing (Drugs) SS'!$A:$A,0))</f>
        <v>0.1 mg/mL</v>
      </c>
      <c r="D83" s="188" t="str">
        <f>INDEX('Pricing (Drugs) SS'!$F:$F,MATCH(F83,'Pricing (Drugs) SS'!$A:$A,0))</f>
        <v>10 mL</v>
      </c>
      <c r="E83" s="188" t="str">
        <f>INDEX('Pricing (Drugs) SS'!$D:$D,MATCH(F83,'Pricing (Drugs) SS'!$A:$A,0))</f>
        <v>76329-3318-1</v>
      </c>
      <c r="F83" s="189">
        <v>1020440</v>
      </c>
      <c r="G83" s="241">
        <f>INDEX('Pricing (Drugs) SS'!$I:$I,MATCH(F83,'Pricing (Drugs) SS'!$A:$A,0))</f>
        <v>15.1</v>
      </c>
      <c r="H83" s="241">
        <f t="shared" si="2"/>
        <v>0</v>
      </c>
      <c r="I83" s="191">
        <f>VLOOKUP(F83,'Price Sheet'!$A:$C,3,FALSE)</f>
        <v>41.99</v>
      </c>
      <c r="J83" s="191"/>
      <c r="K83" s="192">
        <f t="shared" si="6"/>
        <v>41.99</v>
      </c>
      <c r="L83" s="192">
        <f t="shared" si="1"/>
        <v>0</v>
      </c>
      <c r="M83" s="193" t="str">
        <f t="shared" si="3"/>
        <v/>
      </c>
      <c r="N83" s="194" t="str">
        <f t="shared" si="4"/>
        <v/>
      </c>
      <c r="O83" s="194" t="str">
        <f t="shared" si="5"/>
        <v/>
      </c>
      <c r="P83" s="124" t="str">
        <f>INDEX('Pricing (Drugs) SS'!$C:$C,MATCH(F83,'Pricing (Drugs) SS'!$A:$A,0))</f>
        <v>ACTIVE</v>
      </c>
      <c r="Q83" s="124" t="str">
        <f>IF(AND($K$23="Extra DEA Req",S83="X"),"SAFE- CONTROLLED",INDEX('Pricing (Drugs) SS'!$G:$G,MATCH(F83,'Pricing (Drugs) SS'!$A:$A,0)))</f>
        <v>DRUG ROOM</v>
      </c>
      <c r="R83" s="195" t="str">
        <f>INDEX('Pricing (Drugs) SS'!$H:$H,MATCH(F83,'Pricing (Drugs) SS'!$A:$A,0))</f>
        <v>Not on List</v>
      </c>
      <c r="S83" s="124" t="str">
        <f>IF(COUNTIFS('Version and Lists'!$F:$F,F83,'Version and Lists'!$G:$G,$L$22)&gt;0,"X","")</f>
        <v/>
      </c>
    </row>
    <row r="84" spans="1:19" ht="15" customHeight="1" x14ac:dyDescent="0.3">
      <c r="A84" s="185">
        <f>INDEX('McKesson Formulary Calculator'!$A$12:$A$434,MATCH(F84,'McKesson Formulary Calculator'!$F$12:$F$434,0))</f>
        <v>0</v>
      </c>
      <c r="B84" s="186" t="str">
        <f>INDEX('Pricing (Drugs) SS'!$B:$B,MATCH(F84,'Pricing (Drugs) SS'!$A:$A,0))</f>
        <v>ETOMIDATE INJECTION USP, 20mg/10mL (2mg/mL) 10mL VIAL</v>
      </c>
      <c r="C84" s="187" t="str">
        <f>INDEX('Pricing (Drugs) SS'!$E:$E,MATCH(F84,'Pricing (Drugs) SS'!$A:$A,0))</f>
        <v>20mg/10mL</v>
      </c>
      <c r="D84" s="188" t="str">
        <f>INDEX('Pricing (Drugs) SS'!$F:$F,MATCH(F84,'Pricing (Drugs) SS'!$A:$A,0))</f>
        <v>10mL</v>
      </c>
      <c r="E84" s="188" t="str">
        <f>INDEX('Pricing (Drugs) SS'!$D:$D,MATCH(F84,'Pricing (Drugs) SS'!$A:$A,0))</f>
        <v>55150-221-10</v>
      </c>
      <c r="F84" s="189">
        <v>1020560</v>
      </c>
      <c r="G84" s="241">
        <f>INDEX('Pricing (Drugs) SS'!$I:$I,MATCH(F84,'Pricing (Drugs) SS'!$A:$A,0))</f>
        <v>2.6190000000000002</v>
      </c>
      <c r="H84" s="241">
        <f t="shared" si="2"/>
        <v>0</v>
      </c>
      <c r="I84" s="191">
        <f>VLOOKUP(F84,'Price Sheet'!$A:$C,3,FALSE)</f>
        <v>21.75</v>
      </c>
      <c r="J84" s="191"/>
      <c r="K84" s="192">
        <f t="shared" si="6"/>
        <v>21.75</v>
      </c>
      <c r="L84" s="192">
        <f t="shared" si="1"/>
        <v>0</v>
      </c>
      <c r="M84" s="193" t="str">
        <f t="shared" si="3"/>
        <v/>
      </c>
      <c r="N84" s="194" t="str">
        <f t="shared" si="4"/>
        <v>X</v>
      </c>
      <c r="O84" s="194" t="str">
        <f t="shared" si="5"/>
        <v/>
      </c>
      <c r="P84" s="124" t="str">
        <f>INDEX('Pricing (Drugs) SS'!$C:$C,MATCH(F84,'Pricing (Drugs) SS'!$A:$A,0))</f>
        <v>RESTRICTED</v>
      </c>
      <c r="Q84" s="124" t="str">
        <f>IF(AND($K$23="Extra DEA Req",S84="X"),"SAFE- CONTROLLED",INDEX('Pricing (Drugs) SS'!$G:$G,MATCH(F84,'Pricing (Drugs) SS'!$A:$A,0)))</f>
        <v>DRUG ROOM</v>
      </c>
      <c r="R84" s="195" t="str">
        <f>INDEX('Pricing (Drugs) SS'!$H:$H,MATCH(F84,'Pricing (Drugs) SS'!$A:$A,0))</f>
        <v>Lethal Injection Drug</v>
      </c>
      <c r="S84" s="124" t="str">
        <f>IF(COUNTIFS('Version and Lists'!$F:$F,F84,'Version and Lists'!$G:$G,$L$22)&gt;0,"X","")</f>
        <v/>
      </c>
    </row>
    <row r="85" spans="1:19" ht="15" customHeight="1" x14ac:dyDescent="0.3">
      <c r="A85" s="185">
        <f>INDEX('McKesson Formulary Calculator'!$A$12:$A$434,MATCH(F85,'McKesson Formulary Calculator'!$F$12:$F$434,0))</f>
        <v>0</v>
      </c>
      <c r="B85" s="186" t="str">
        <f>INDEX('Pricing (Drugs) SS'!$B:$B,MATCH(F85,'Pricing (Drugs) SS'!$A:$A,0))</f>
        <v>ETOMIDATE INJECTION, USP 40mg PER 20mL (2mg/mL) 20mL VIAL</v>
      </c>
      <c r="C85" s="187" t="str">
        <f>INDEX('Pricing (Drugs) SS'!$E:$E,MATCH(F85,'Pricing (Drugs) SS'!$A:$A,0))</f>
        <v>2mg/mL</v>
      </c>
      <c r="D85" s="188" t="str">
        <f>INDEX('Pricing (Drugs) SS'!$F:$F,MATCH(F85,'Pricing (Drugs) SS'!$A:$A,0))</f>
        <v>20mL</v>
      </c>
      <c r="E85" s="188" t="str">
        <f>INDEX('Pricing (Drugs) SS'!$D:$D,MATCH(F85,'Pricing (Drugs) SS'!$A:$A,0))</f>
        <v>55150-222-20</v>
      </c>
      <c r="F85" s="189">
        <v>1016160</v>
      </c>
      <c r="G85" s="241">
        <f>INDEX('Pricing (Drugs) SS'!$I:$I,MATCH(F85,'Pricing (Drugs) SS'!$A:$A,0))</f>
        <v>3.6</v>
      </c>
      <c r="H85" s="241">
        <f t="shared" si="2"/>
        <v>0</v>
      </c>
      <c r="I85" s="191">
        <f>VLOOKUP(F85,'Price Sheet'!$A:$C,3,FALSE)</f>
        <v>24.48</v>
      </c>
      <c r="J85" s="191"/>
      <c r="K85" s="192">
        <f t="shared" si="6"/>
        <v>24.48</v>
      </c>
      <c r="L85" s="192">
        <f t="shared" si="1"/>
        <v>0</v>
      </c>
      <c r="M85" s="193" t="str">
        <f t="shared" si="3"/>
        <v/>
      </c>
      <c r="N85" s="194" t="str">
        <f t="shared" si="4"/>
        <v>X</v>
      </c>
      <c r="O85" s="194" t="str">
        <f t="shared" si="5"/>
        <v/>
      </c>
      <c r="P85" s="124" t="str">
        <f>INDEX('Pricing (Drugs) SS'!$C:$C,MATCH(F85,'Pricing (Drugs) SS'!$A:$A,0))</f>
        <v>RESTRICTED</v>
      </c>
      <c r="Q85" s="124" t="str">
        <f>IF(AND($K$23="Extra DEA Req",S85="X"),"SAFE- CONTROLLED",INDEX('Pricing (Drugs) SS'!$G:$G,MATCH(F85,'Pricing (Drugs) SS'!$A:$A,0)))</f>
        <v>DRUG ROOM</v>
      </c>
      <c r="R85" s="195" t="str">
        <f>INDEX('Pricing (Drugs) SS'!$H:$H,MATCH(F85,'Pricing (Drugs) SS'!$A:$A,0))</f>
        <v>Lethal Injection Drug</v>
      </c>
      <c r="S85" s="124" t="str">
        <f>IF(COUNTIFS('Version and Lists'!$F:$F,F85,'Version and Lists'!$G:$G,$L$22)&gt;0,"X","")</f>
        <v/>
      </c>
    </row>
    <row r="86" spans="1:19" ht="15" customHeight="1" x14ac:dyDescent="0.3">
      <c r="A86" s="185">
        <f>INDEX('McKesson Formulary Calculator'!$A$12:$A$434,MATCH(F86,'McKesson Formulary Calculator'!$F$12:$F$434,0))</f>
        <v>0</v>
      </c>
      <c r="B86" s="186" t="str">
        <f>INDEX('Pricing (Drugs) SS'!$B:$B,MATCH(F86,'Pricing (Drugs) SS'!$A:$A,0))</f>
        <v>FAMOTIDINE INJECTION, USP 20 mg/2mL 2mL VIAL</v>
      </c>
      <c r="C86" s="187" t="str">
        <f>INDEX('Pricing (Drugs) SS'!$E:$E,MATCH(F86,'Pricing (Drugs) SS'!$A:$A,0))</f>
        <v>10mg/mL</v>
      </c>
      <c r="D86" s="188" t="str">
        <f>INDEX('Pricing (Drugs) SS'!$F:$F,MATCH(F86,'Pricing (Drugs) SS'!$A:$A,0))</f>
        <v>2mL</v>
      </c>
      <c r="E86" s="188" t="str">
        <f>INDEX('Pricing (Drugs) SS'!$D:$D,MATCH(F86,'Pricing (Drugs) SS'!$A:$A,0))</f>
        <v>63323-739-12</v>
      </c>
      <c r="F86" s="189">
        <v>1012230</v>
      </c>
      <c r="G86" s="241">
        <f>INDEX('Pricing (Drugs) SS'!$I:$I,MATCH(F86,'Pricing (Drugs) SS'!$A:$A,0))</f>
        <v>0.9</v>
      </c>
      <c r="H86" s="241">
        <f t="shared" si="2"/>
        <v>0</v>
      </c>
      <c r="I86" s="191">
        <f>VLOOKUP(F86,'Price Sheet'!$A:$C,3,FALSE)</f>
        <v>9.99</v>
      </c>
      <c r="J86" s="191"/>
      <c r="K86" s="192">
        <f t="shared" si="6"/>
        <v>9.99</v>
      </c>
      <c r="L86" s="192">
        <f t="shared" si="1"/>
        <v>0</v>
      </c>
      <c r="M86" s="193" t="str">
        <f t="shared" si="3"/>
        <v>C</v>
      </c>
      <c r="N86" s="194" t="str">
        <f t="shared" si="4"/>
        <v/>
      </c>
      <c r="O86" s="194" t="str">
        <f t="shared" si="5"/>
        <v/>
      </c>
      <c r="P86" s="124" t="str">
        <f>INDEX('Pricing (Drugs) SS'!$C:$C,MATCH(F86,'Pricing (Drugs) SS'!$A:$A,0))</f>
        <v>RESTRICTED</v>
      </c>
      <c r="Q86" s="124" t="str">
        <f>IF(AND($K$23="Extra DEA Req",S86="X"),"SAFE- CONTROLLED",INDEX('Pricing (Drugs) SS'!$G:$G,MATCH(F86,'Pricing (Drugs) SS'!$A:$A,0)))</f>
        <v>REFRIGERATED</v>
      </c>
      <c r="R86" s="195" t="str">
        <f>INDEX('Pricing (Drugs) SS'!$H:$H,MATCH(F86,'Pricing (Drugs) SS'!$A:$A,0))</f>
        <v>Not on List</v>
      </c>
      <c r="S86" s="124" t="str">
        <f>IF(COUNTIFS('Version and Lists'!$F:$F,F86,'Version and Lists'!$G:$G,$L$22)&gt;0,"X","")</f>
        <v/>
      </c>
    </row>
    <row r="87" spans="1:19" ht="15" customHeight="1" x14ac:dyDescent="0.3">
      <c r="A87" s="185">
        <f>INDEX('McKesson Formulary Calculator'!$A$12:$A$434,MATCH(F87,'McKesson Formulary Calculator'!$F$12:$F$434,0))</f>
        <v>0</v>
      </c>
      <c r="B87" s="186" t="str">
        <f>INDEX('Pricing (Drugs) SS'!$B:$B,MATCH(F87,'Pricing (Drugs) SS'!$A:$A,0))</f>
        <v>FLUMAZENIL INJECTION, USP 0.5mg/5mL (0.1mg/mL) VIAL</v>
      </c>
      <c r="C87" s="187" t="str">
        <f>INDEX('Pricing (Drugs) SS'!$E:$E,MATCH(F87,'Pricing (Drugs) SS'!$A:$A,0))</f>
        <v>0.1mg/mL</v>
      </c>
      <c r="D87" s="188" t="str">
        <f>INDEX('Pricing (Drugs) SS'!$F:$F,MATCH(F87,'Pricing (Drugs) SS'!$A:$A,0))</f>
        <v>5mL</v>
      </c>
      <c r="E87" s="188" t="str">
        <f>INDEX('Pricing (Drugs) SS'!$D:$D,MATCH(F87,'Pricing (Drugs) SS'!$A:$A,0))</f>
        <v>0143-9784-10</v>
      </c>
      <c r="F87" s="189">
        <v>1000570</v>
      </c>
      <c r="G87" s="241">
        <f>INDEX('Pricing (Drugs) SS'!$I:$I,MATCH(F87,'Pricing (Drugs) SS'!$A:$A,0))</f>
        <v>2.879</v>
      </c>
      <c r="H87" s="241">
        <f t="shared" si="2"/>
        <v>0</v>
      </c>
      <c r="I87" s="191">
        <f>VLOOKUP(F87,'Price Sheet'!$A:$C,3,FALSE)</f>
        <v>26</v>
      </c>
      <c r="J87" s="191"/>
      <c r="K87" s="192">
        <f t="shared" si="6"/>
        <v>26</v>
      </c>
      <c r="L87" s="192">
        <f t="shared" si="1"/>
        <v>0</v>
      </c>
      <c r="M87" s="193" t="str">
        <f t="shared" si="3"/>
        <v/>
      </c>
      <c r="N87" s="194" t="str">
        <f t="shared" si="4"/>
        <v/>
      </c>
      <c r="O87" s="194" t="str">
        <f t="shared" si="5"/>
        <v/>
      </c>
      <c r="P87" s="124" t="str">
        <f>INDEX('Pricing (Drugs) SS'!$C:$C,MATCH(F87,'Pricing (Drugs) SS'!$A:$A,0))</f>
        <v>ACTIVE</v>
      </c>
      <c r="Q87" s="124" t="str">
        <f>IF(AND($K$23="Extra DEA Req",S87="X"),"SAFE- CONTROLLED",INDEX('Pricing (Drugs) SS'!$G:$G,MATCH(F87,'Pricing (Drugs) SS'!$A:$A,0)))</f>
        <v>DRUG ROOM</v>
      </c>
      <c r="R87" s="195" t="str">
        <f>INDEX('Pricing (Drugs) SS'!$H:$H,MATCH(F87,'Pricing (Drugs) SS'!$A:$A,0))</f>
        <v>Not on List</v>
      </c>
      <c r="S87" s="124" t="str">
        <f>IF(COUNTIFS('Version and Lists'!$F:$F,F87,'Version and Lists'!$G:$G,$L$22)&gt;0,"X","")</f>
        <v/>
      </c>
    </row>
    <row r="88" spans="1:19" s="64" customFormat="1" ht="15" customHeight="1" x14ac:dyDescent="0.3">
      <c r="A88" s="185">
        <f>INDEX('McKesson Formulary Calculator'!$A$12:$A$434,MATCH(F88,'McKesson Formulary Calculator'!$F$12:$F$434,0))</f>
        <v>0</v>
      </c>
      <c r="B88" s="186" t="str">
        <f>INDEX('Pricing (Drugs) SS'!$B:$B,MATCH(F88,'Pricing (Drugs) SS'!$A:$A,0))</f>
        <v>FLUMAZENIL INJECTION, USP 1mg/10mL (0.1 mg/mL) VIAL</v>
      </c>
      <c r="C88" s="187" t="str">
        <f>INDEX('Pricing (Drugs) SS'!$E:$E,MATCH(F88,'Pricing (Drugs) SS'!$A:$A,0))</f>
        <v>0.1 mg/mL</v>
      </c>
      <c r="D88" s="188" t="str">
        <f>INDEX('Pricing (Drugs) SS'!$F:$F,MATCH(F88,'Pricing (Drugs) SS'!$A:$A,0))</f>
        <v>10mL</v>
      </c>
      <c r="E88" s="188" t="str">
        <f>INDEX('Pricing (Drugs) SS'!$D:$D,MATCH(F88,'Pricing (Drugs) SS'!$A:$A,0))</f>
        <v>0143-9783-10</v>
      </c>
      <c r="F88" s="189">
        <v>1000560</v>
      </c>
      <c r="G88" s="241">
        <f>INDEX('Pricing (Drugs) SS'!$I:$I,MATCH(F88,'Pricing (Drugs) SS'!$A:$A,0))</f>
        <v>6.7990000000000004</v>
      </c>
      <c r="H88" s="241">
        <f t="shared" si="2"/>
        <v>0</v>
      </c>
      <c r="I88" s="191">
        <f>VLOOKUP(F88,'Price Sheet'!$A:$C,3,FALSE)</f>
        <v>37.450000000000003</v>
      </c>
      <c r="J88" s="191"/>
      <c r="K88" s="192">
        <f t="shared" si="6"/>
        <v>37.450000000000003</v>
      </c>
      <c r="L88" s="192">
        <f t="shared" si="1"/>
        <v>0</v>
      </c>
      <c r="M88" s="193" t="str">
        <f t="shared" si="3"/>
        <v/>
      </c>
      <c r="N88" s="194" t="str">
        <f t="shared" si="4"/>
        <v/>
      </c>
      <c r="O88" s="194" t="str">
        <f t="shared" si="5"/>
        <v/>
      </c>
      <c r="P88" s="124" t="str">
        <f>INDEX('Pricing (Drugs) SS'!$C:$C,MATCH(F88,'Pricing (Drugs) SS'!$A:$A,0))</f>
        <v>ACTIVE</v>
      </c>
      <c r="Q88" s="124" t="str">
        <f>IF(AND($K$23="Extra DEA Req",S88="X"),"SAFE- CONTROLLED",INDEX('Pricing (Drugs) SS'!$G:$G,MATCH(F88,'Pricing (Drugs) SS'!$A:$A,0)))</f>
        <v>DRUG ROOM</v>
      </c>
      <c r="R88" s="195" t="str">
        <f>INDEX('Pricing (Drugs) SS'!$H:$H,MATCH(F88,'Pricing (Drugs) SS'!$A:$A,0))</f>
        <v>Not on List</v>
      </c>
      <c r="S88" s="124" t="str">
        <f>IF(COUNTIFS('Version and Lists'!$F:$F,F88,'Version and Lists'!$G:$G,$L$22)&gt;0,"X","")</f>
        <v/>
      </c>
    </row>
    <row r="89" spans="1:19" ht="15" customHeight="1" x14ac:dyDescent="0.3">
      <c r="A89" s="185">
        <f>INDEX('McKesson Formulary Calculator'!$A$12:$A$434,MATCH(F89,'McKesson Formulary Calculator'!$F$12:$F$434,0))</f>
        <v>0</v>
      </c>
      <c r="B89" s="186" t="str">
        <f>INDEX('Pricing (Drugs) SS'!$B:$B,MATCH(F89,'Pricing (Drugs) SS'!$A:$A,0))</f>
        <v>FUROSEMIDE INJECTION, USP 20mg PER 2mL (10mg PER mL) 2mL VIAL</v>
      </c>
      <c r="C89" s="187" t="str">
        <f>INDEX('Pricing (Drugs) SS'!$E:$E,MATCH(F89,'Pricing (Drugs) SS'!$A:$A,0))</f>
        <v>10mg/mL</v>
      </c>
      <c r="D89" s="188" t="str">
        <f>INDEX('Pricing (Drugs) SS'!$F:$F,MATCH(F89,'Pricing (Drugs) SS'!$A:$A,0))</f>
        <v>2mL</v>
      </c>
      <c r="E89" s="188" t="str">
        <f>INDEX('Pricing (Drugs) SS'!$D:$D,MATCH(F89,'Pricing (Drugs) SS'!$A:$A,0))</f>
        <v>63323-280-02</v>
      </c>
      <c r="F89" s="189">
        <v>1016580</v>
      </c>
      <c r="G89" s="241">
        <f>INDEX('Pricing (Drugs) SS'!$I:$I,MATCH(F89,'Pricing (Drugs) SS'!$A:$A,0))</f>
        <v>2.1</v>
      </c>
      <c r="H89" s="241">
        <f t="shared" si="2"/>
        <v>0</v>
      </c>
      <c r="I89" s="191">
        <f>VLOOKUP(F89,'Price Sheet'!$A:$C,3,FALSE)</f>
        <v>20.55</v>
      </c>
      <c r="J89" s="191"/>
      <c r="K89" s="192">
        <f t="shared" si="6"/>
        <v>20.55</v>
      </c>
      <c r="L89" s="192">
        <f t="shared" si="1"/>
        <v>0</v>
      </c>
      <c r="M89" s="193" t="str">
        <f t="shared" si="3"/>
        <v/>
      </c>
      <c r="N89" s="194" t="str">
        <f t="shared" si="4"/>
        <v/>
      </c>
      <c r="O89" s="194" t="str">
        <f t="shared" si="5"/>
        <v/>
      </c>
      <c r="P89" s="124" t="str">
        <f>INDEX('Pricing (Drugs) SS'!$C:$C,MATCH(F89,'Pricing (Drugs) SS'!$A:$A,0))</f>
        <v>ACTIVE</v>
      </c>
      <c r="Q89" s="124" t="str">
        <f>IF(AND($K$23="Extra DEA Req",S89="X"),"SAFE- CONTROLLED",INDEX('Pricing (Drugs) SS'!$G:$G,MATCH(F89,'Pricing (Drugs) SS'!$A:$A,0)))</f>
        <v>DRUG ROOM</v>
      </c>
      <c r="R89" s="195" t="str">
        <f>INDEX('Pricing (Drugs) SS'!$H:$H,MATCH(F89,'Pricing (Drugs) SS'!$A:$A,0))</f>
        <v>Not on List</v>
      </c>
      <c r="S89" s="124" t="str">
        <f>IF(COUNTIFS('Version and Lists'!$F:$F,F89,'Version and Lists'!$G:$G,$L$22)&gt;0,"X","")</f>
        <v/>
      </c>
    </row>
    <row r="90" spans="1:19" ht="15" customHeight="1" x14ac:dyDescent="0.3">
      <c r="A90" s="185">
        <f>INDEX('McKesson Formulary Calculator'!$A$12:$A$434,MATCH(F90,'McKesson Formulary Calculator'!$F$12:$F$434,0))</f>
        <v>0</v>
      </c>
      <c r="B90" s="186" t="str">
        <f>INDEX('Pricing (Drugs) SS'!$B:$B,MATCH(F90,'Pricing (Drugs) SS'!$A:$A,0))</f>
        <v>FUROSEMIDE INJECTION, USP 40mg PER 4mL (10mg PER mL) 4mL VIAL</v>
      </c>
      <c r="C90" s="187" t="str">
        <f>INDEX('Pricing (Drugs) SS'!$E:$E,MATCH(F90,'Pricing (Drugs) SS'!$A:$A,0))</f>
        <v>10mg/mL</v>
      </c>
      <c r="D90" s="188" t="str">
        <f>INDEX('Pricing (Drugs) SS'!$F:$F,MATCH(F90,'Pricing (Drugs) SS'!$A:$A,0))</f>
        <v>4mL</v>
      </c>
      <c r="E90" s="188" t="str">
        <f>INDEX('Pricing (Drugs) SS'!$D:$D,MATCH(F90,'Pricing (Drugs) SS'!$A:$A,0))</f>
        <v>63323-280-04</v>
      </c>
      <c r="F90" s="189">
        <v>1016590</v>
      </c>
      <c r="G90" s="241">
        <f>INDEX('Pricing (Drugs) SS'!$I:$I,MATCH(F90,'Pricing (Drugs) SS'!$A:$A,0))</f>
        <v>2.8</v>
      </c>
      <c r="H90" s="241">
        <f t="shared" si="2"/>
        <v>0</v>
      </c>
      <c r="I90" s="191">
        <f>VLOOKUP(F90,'Price Sheet'!$A:$C,3,FALSE)</f>
        <v>25.5</v>
      </c>
      <c r="J90" s="191"/>
      <c r="K90" s="192">
        <f t="shared" ref="K90:K104" si="7">J90+I90</f>
        <v>25.5</v>
      </c>
      <c r="L90" s="192">
        <f t="shared" ref="L90:L145" si="8">IFERROR(K90*A90,"")</f>
        <v>0</v>
      </c>
      <c r="M90" s="193" t="str">
        <f t="shared" si="3"/>
        <v/>
      </c>
      <c r="N90" s="194" t="str">
        <f t="shared" si="4"/>
        <v/>
      </c>
      <c r="O90" s="194" t="str">
        <f t="shared" si="5"/>
        <v/>
      </c>
      <c r="P90" s="124" t="str">
        <f>INDEX('Pricing (Drugs) SS'!$C:$C,MATCH(F90,'Pricing (Drugs) SS'!$A:$A,0))</f>
        <v>ACTIVE</v>
      </c>
      <c r="Q90" s="124" t="str">
        <f>IF(AND($K$23="Extra DEA Req",S90="X"),"SAFE- CONTROLLED",INDEX('Pricing (Drugs) SS'!$G:$G,MATCH(F90,'Pricing (Drugs) SS'!$A:$A,0)))</f>
        <v>DRUG ROOM</v>
      </c>
      <c r="R90" s="195" t="str">
        <f>INDEX('Pricing (Drugs) SS'!$H:$H,MATCH(F90,'Pricing (Drugs) SS'!$A:$A,0))</f>
        <v>Not on List</v>
      </c>
      <c r="S90" s="124" t="str">
        <f>IF(COUNTIFS('Version and Lists'!$F:$F,F90,'Version and Lists'!$G:$G,$L$22)&gt;0,"X","")</f>
        <v/>
      </c>
    </row>
    <row r="91" spans="1:19" ht="15" customHeight="1" x14ac:dyDescent="0.3">
      <c r="A91" s="185">
        <f>INDEX('McKesson Formulary Calculator'!$A$12:$A$434,MATCH(F91,'McKesson Formulary Calculator'!$F$12:$F$434,0))</f>
        <v>0</v>
      </c>
      <c r="B91" s="186" t="str">
        <f>INDEX('Pricing (Drugs) SS'!$B:$B,MATCH(F91,'Pricing (Drugs) SS'!$A:$A,0))</f>
        <v>FUROSEMIDE INJECTION, USP 100mg PER 10mL (10mg PER mL) 10mL VIAL</v>
      </c>
      <c r="C91" s="187" t="str">
        <f>INDEX('Pricing (Drugs) SS'!$E:$E,MATCH(F91,'Pricing (Drugs) SS'!$A:$A,0))</f>
        <v>10mg/mL</v>
      </c>
      <c r="D91" s="188" t="str">
        <f>INDEX('Pricing (Drugs) SS'!$F:$F,MATCH(F91,'Pricing (Drugs) SS'!$A:$A,0))</f>
        <v>10mL</v>
      </c>
      <c r="E91" s="188" t="str">
        <f>INDEX('Pricing (Drugs) SS'!$D:$D,MATCH(F91,'Pricing (Drugs) SS'!$A:$A,0))</f>
        <v>63323-280-10</v>
      </c>
      <c r="F91" s="189">
        <v>1016570</v>
      </c>
      <c r="G91" s="241">
        <f>INDEX('Pricing (Drugs) SS'!$I:$I,MATCH(F91,'Pricing (Drugs) SS'!$A:$A,0))</f>
        <v>3.2</v>
      </c>
      <c r="H91" s="241">
        <f t="shared" si="2"/>
        <v>0</v>
      </c>
      <c r="I91" s="191">
        <f>VLOOKUP(F91,'Price Sheet'!$A:$C,3,FALSE)</f>
        <v>27.5</v>
      </c>
      <c r="J91" s="191"/>
      <c r="K91" s="192">
        <f t="shared" si="7"/>
        <v>27.5</v>
      </c>
      <c r="L91" s="192">
        <f t="shared" si="8"/>
        <v>0</v>
      </c>
      <c r="M91" s="193" t="str">
        <f t="shared" si="3"/>
        <v/>
      </c>
      <c r="N91" s="194" t="str">
        <f t="shared" si="4"/>
        <v/>
      </c>
      <c r="O91" s="194" t="str">
        <f t="shared" si="5"/>
        <v/>
      </c>
      <c r="P91" s="124" t="str">
        <f>INDEX('Pricing (Drugs) SS'!$C:$C,MATCH(F91,'Pricing (Drugs) SS'!$A:$A,0))</f>
        <v>ACTIVE</v>
      </c>
      <c r="Q91" s="124" t="str">
        <f>IF(AND($K$23="Extra DEA Req",S91="X"),"SAFE- CONTROLLED",INDEX('Pricing (Drugs) SS'!$G:$G,MATCH(F91,'Pricing (Drugs) SS'!$A:$A,0)))</f>
        <v>DRUG ROOM</v>
      </c>
      <c r="R91" s="195" t="str">
        <f>INDEX('Pricing (Drugs) SS'!$H:$H,MATCH(F91,'Pricing (Drugs) SS'!$A:$A,0))</f>
        <v>Not on List</v>
      </c>
      <c r="S91" s="124" t="str">
        <f>IF(COUNTIFS('Version and Lists'!$F:$F,F91,'Version and Lists'!$G:$G,$L$22)&gt;0,"X","")</f>
        <v/>
      </c>
    </row>
    <row r="92" spans="1:19" ht="15" customHeight="1" x14ac:dyDescent="0.3">
      <c r="A92" s="185">
        <f>INDEX('McKesson Formulary Calculator'!$A$12:$A$434,MATCH(F92,'McKesson Formulary Calculator'!$F$12:$F$434,0))</f>
        <v>0</v>
      </c>
      <c r="B92" s="186" t="str">
        <f>INDEX('Pricing (Drugs) SS'!$B:$B,MATCH(F92,'Pricing (Drugs) SS'!$A:$A,0))</f>
        <v>TRANSCEND 15g GLUCOSE GEL POUCH</v>
      </c>
      <c r="C92" s="187" t="str">
        <f>INDEX('Pricing (Drugs) SS'!$E:$E,MATCH(F92,'Pricing (Drugs) SS'!$A:$A,0))</f>
        <v>15 Gram Strength</v>
      </c>
      <c r="D92" s="188" t="str">
        <f>INDEX('Pricing (Drugs) SS'!$F:$F,MATCH(F92,'Pricing (Drugs) SS'!$A:$A,0))</f>
        <v>31gm</v>
      </c>
      <c r="E92" s="188" t="str">
        <f>INDEX('Pricing (Drugs) SS'!$D:$D,MATCH(F92,'Pricing (Drugs) SS'!$A:$A,0))</f>
        <v>N/A</v>
      </c>
      <c r="F92" s="189">
        <v>1025070</v>
      </c>
      <c r="G92" s="241">
        <f>INDEX('Pricing (Drugs) SS'!$I:$I,MATCH(F92,'Pricing (Drugs) SS'!$A:$A,0))</f>
        <v>1.38946666666667</v>
      </c>
      <c r="H92" s="241">
        <f t="shared" si="2"/>
        <v>0</v>
      </c>
      <c r="I92" s="191">
        <f>VLOOKUP(F92,'Price Sheet'!$A:$C,3,FALSE)</f>
        <v>9.23</v>
      </c>
      <c r="J92" s="191"/>
      <c r="K92" s="192">
        <f t="shared" si="7"/>
        <v>9.23</v>
      </c>
      <c r="L92" s="192">
        <f t="shared" si="8"/>
        <v>0</v>
      </c>
      <c r="M92" s="193" t="str">
        <f t="shared" si="3"/>
        <v/>
      </c>
      <c r="N92" s="194" t="str">
        <f t="shared" si="4"/>
        <v/>
      </c>
      <c r="O92" s="194" t="str">
        <f t="shared" si="5"/>
        <v/>
      </c>
      <c r="P92" s="124" t="str">
        <f>INDEX('Pricing (Drugs) SS'!$C:$C,MATCH(F92,'Pricing (Drugs) SS'!$A:$A,0))</f>
        <v>ACTIVE</v>
      </c>
      <c r="Q92" s="124" t="str">
        <f>IF(AND($K$23="Extra DEA Req",S92="X"),"SAFE- CONTROLLED",INDEX('Pricing (Drugs) SS'!$G:$G,MATCH(F92,'Pricing (Drugs) SS'!$A:$A,0)))</f>
        <v>DRUG ROOM</v>
      </c>
      <c r="R92" s="195" t="str">
        <f>INDEX('Pricing (Drugs) SS'!$H:$H,MATCH(F92,'Pricing (Drugs) SS'!$A:$A,0))</f>
        <v>Not on List</v>
      </c>
      <c r="S92" s="124" t="str">
        <f>IF(COUNTIFS('Version and Lists'!$F:$F,F92,'Version and Lists'!$G:$G,$L$22)&gt;0,"X","")</f>
        <v/>
      </c>
    </row>
    <row r="93" spans="1:19" ht="15" customHeight="1" x14ac:dyDescent="0.3">
      <c r="A93" s="185">
        <f>INDEX('McKesson Formulary Calculator'!$A$12:$A$434,MATCH(F93,'McKesson Formulary Calculator'!$F$12:$F$434,0))</f>
        <v>0</v>
      </c>
      <c r="B93" s="186" t="str">
        <f>INDEX('Pricing (Drugs) SS'!$B:$B,MATCH(F93,'Pricing (Drugs) SS'!$A:$A,0))</f>
        <v>GLYCOPYRROLATE INJECTION, USP 0.2mg/mL CONTAINS BENZYL ALCOHOL 1mL VIAL</v>
      </c>
      <c r="C93" s="187" t="str">
        <f>INDEX('Pricing (Drugs) SS'!$E:$E,MATCH(F93,'Pricing (Drugs) SS'!$A:$A,0))</f>
        <v>0.2mg/mL</v>
      </c>
      <c r="D93" s="188" t="str">
        <f>INDEX('Pricing (Drugs) SS'!$F:$F,MATCH(F93,'Pricing (Drugs) SS'!$A:$A,0))</f>
        <v>1mL</v>
      </c>
      <c r="E93" s="188" t="str">
        <f>INDEX('Pricing (Drugs) SS'!$D:$D,MATCH(F93,'Pricing (Drugs) SS'!$A:$A,0))</f>
        <v>0143-9682-25</v>
      </c>
      <c r="F93" s="189">
        <v>1013070</v>
      </c>
      <c r="G93" s="241">
        <f>INDEX('Pricing (Drugs) SS'!$I:$I,MATCH(F93,'Pricing (Drugs) SS'!$A:$A,0))</f>
        <v>0.58919999999999995</v>
      </c>
      <c r="H93" s="241">
        <f t="shared" si="2"/>
        <v>0</v>
      </c>
      <c r="I93" s="191">
        <f>VLOOKUP(F93,'Price Sheet'!$A:$C,3,FALSE)</f>
        <v>15.95</v>
      </c>
      <c r="J93" s="191"/>
      <c r="K93" s="192">
        <f t="shared" si="7"/>
        <v>15.95</v>
      </c>
      <c r="L93" s="192">
        <f t="shared" si="8"/>
        <v>0</v>
      </c>
      <c r="M93" s="193" t="str">
        <f t="shared" si="3"/>
        <v/>
      </c>
      <c r="N93" s="194" t="str">
        <f t="shared" si="4"/>
        <v/>
      </c>
      <c r="O93" s="194" t="str">
        <f t="shared" si="5"/>
        <v/>
      </c>
      <c r="P93" s="124" t="str">
        <f>INDEX('Pricing (Drugs) SS'!$C:$C,MATCH(F93,'Pricing (Drugs) SS'!$A:$A,0))</f>
        <v>ACTIVE</v>
      </c>
      <c r="Q93" s="124" t="str">
        <f>IF(AND($K$23="Extra DEA Req",S93="X"),"SAFE- CONTROLLED",INDEX('Pricing (Drugs) SS'!$G:$G,MATCH(F93,'Pricing (Drugs) SS'!$A:$A,0)))</f>
        <v>DRUG ROOM</v>
      </c>
      <c r="R93" s="195" t="str">
        <f>INDEX('Pricing (Drugs) SS'!$H:$H,MATCH(F93,'Pricing (Drugs) SS'!$A:$A,0))</f>
        <v>Not on List</v>
      </c>
      <c r="S93" s="124" t="str">
        <f>IF(COUNTIFS('Version and Lists'!$F:$F,F93,'Version and Lists'!$G:$G,$L$22)&gt;0,"X","")</f>
        <v/>
      </c>
    </row>
    <row r="94" spans="1:19" ht="15" customHeight="1" x14ac:dyDescent="0.3">
      <c r="A94" s="185">
        <f>INDEX('McKesson Formulary Calculator'!$A$12:$A$434,MATCH(F94,'McKesson Formulary Calculator'!$F$12:$F$434,0))</f>
        <v>0</v>
      </c>
      <c r="B94" s="186" t="str">
        <f>INDEX('Pricing (Drugs) SS'!$B:$B,MATCH(F94,'Pricing (Drugs) SS'!$A:$A,0))</f>
        <v>GLYCOPYRROLATE INJECTION, USP 1mg/5mL (0.2mg/mL) 5mL VIAL</v>
      </c>
      <c r="C94" s="187" t="str">
        <f>INDEX('Pricing (Drugs) SS'!$E:$E,MATCH(F94,'Pricing (Drugs) SS'!$A:$A,0))</f>
        <v>0.2mg/mL</v>
      </c>
      <c r="D94" s="188" t="str">
        <f>INDEX('Pricing (Drugs) SS'!$F:$F,MATCH(F94,'Pricing (Drugs) SS'!$A:$A,0))</f>
        <v>5mL</v>
      </c>
      <c r="E94" s="188" t="str">
        <f>INDEX('Pricing (Drugs) SS'!$D:$D,MATCH(F94,'Pricing (Drugs) SS'!$A:$A,0))</f>
        <v>0143-9680-25</v>
      </c>
      <c r="F94" s="189">
        <v>1018040</v>
      </c>
      <c r="G94" s="241">
        <f>INDEX('Pricing (Drugs) SS'!$I:$I,MATCH(F94,'Pricing (Drugs) SS'!$A:$A,0))</f>
        <v>2.12</v>
      </c>
      <c r="H94" s="241">
        <f t="shared" si="2"/>
        <v>0</v>
      </c>
      <c r="I94" s="191">
        <f>VLOOKUP(F94,'Price Sheet'!$A:$C,3,FALSE)</f>
        <v>25.99</v>
      </c>
      <c r="J94" s="191"/>
      <c r="K94" s="192">
        <f t="shared" si="7"/>
        <v>25.99</v>
      </c>
      <c r="L94" s="192">
        <f t="shared" si="8"/>
        <v>0</v>
      </c>
      <c r="M94" s="193" t="str">
        <f t="shared" si="3"/>
        <v/>
      </c>
      <c r="N94" s="194" t="str">
        <f t="shared" si="4"/>
        <v/>
      </c>
      <c r="O94" s="194" t="str">
        <f t="shared" si="5"/>
        <v/>
      </c>
      <c r="P94" s="124" t="str">
        <f>INDEX('Pricing (Drugs) SS'!$C:$C,MATCH(F94,'Pricing (Drugs) SS'!$A:$A,0))</f>
        <v>ACTIVE</v>
      </c>
      <c r="Q94" s="124" t="str">
        <f>IF(AND($K$23="Extra DEA Req",S94="X"),"SAFE- CONTROLLED",INDEX('Pricing (Drugs) SS'!$G:$G,MATCH(F94,'Pricing (Drugs) SS'!$A:$A,0)))</f>
        <v>DRUG ROOM</v>
      </c>
      <c r="R94" s="195" t="str">
        <f>INDEX('Pricing (Drugs) SS'!$H:$H,MATCH(F94,'Pricing (Drugs) SS'!$A:$A,0))</f>
        <v>Not on List</v>
      </c>
      <c r="S94" s="124" t="str">
        <f>IF(COUNTIFS('Version and Lists'!$F:$F,F94,'Version and Lists'!$G:$G,$L$22)&gt;0,"X","")</f>
        <v/>
      </c>
    </row>
    <row r="95" spans="1:19" ht="15" customHeight="1" x14ac:dyDescent="0.3">
      <c r="A95" s="185">
        <f>INDEX('McKesson Formulary Calculator'!$A$12:$A$434,MATCH(F95,'McKesson Formulary Calculator'!$F$12:$F$434,0))</f>
        <v>0</v>
      </c>
      <c r="B95" s="186" t="str">
        <f>INDEX('Pricing (Drugs) SS'!$B:$B,MATCH(F95,'Pricing (Drugs) SS'!$A:$A,0))</f>
        <v>6% HETASTARCH IN 0.9% SODIUM CHLORIDE INJECTION 500mL BAG</v>
      </c>
      <c r="C95" s="187" t="str">
        <f>INDEX('Pricing (Drugs) SS'!$E:$E,MATCH(F95,'Pricing (Drugs) SS'!$A:$A,0))</f>
        <v>9mg/mL ;6%</v>
      </c>
      <c r="D95" s="188" t="str">
        <f>INDEX('Pricing (Drugs) SS'!$F:$F,MATCH(F95,'Pricing (Drugs) SS'!$A:$A,0))</f>
        <v>500mL</v>
      </c>
      <c r="E95" s="188" t="str">
        <f>INDEX('Pricing (Drugs) SS'!$D:$D,MATCH(F95,'Pricing (Drugs) SS'!$A:$A,0))</f>
        <v>0409-7248-03</v>
      </c>
      <c r="F95" s="189">
        <v>1009750</v>
      </c>
      <c r="G95" s="241">
        <f>INDEX('Pricing (Drugs) SS'!$I:$I,MATCH(F95,'Pricing (Drugs) SS'!$A:$A,0))</f>
        <v>77.197500000000005</v>
      </c>
      <c r="H95" s="241">
        <f t="shared" si="2"/>
        <v>0</v>
      </c>
      <c r="I95" s="191">
        <f>VLOOKUP(F95,'Price Sheet'!$A:$C,3,FALSE)</f>
        <v>118.98</v>
      </c>
      <c r="J95" s="191"/>
      <c r="K95" s="192">
        <f t="shared" si="7"/>
        <v>118.98</v>
      </c>
      <c r="L95" s="192">
        <f t="shared" si="8"/>
        <v>0</v>
      </c>
      <c r="M95" s="193" t="str">
        <f t="shared" si="3"/>
        <v/>
      </c>
      <c r="N95" s="194" t="str">
        <f t="shared" si="4"/>
        <v/>
      </c>
      <c r="O95" s="194" t="str">
        <f t="shared" si="5"/>
        <v/>
      </c>
      <c r="P95" s="124" t="str">
        <f>INDEX('Pricing (Drugs) SS'!$C:$C,MATCH(F95,'Pricing (Drugs) SS'!$A:$A,0))</f>
        <v>ACTIVE</v>
      </c>
      <c r="Q95" s="124" t="str">
        <f>IF(AND($K$23="Extra DEA Req",S95="X"),"SAFE- CONTROLLED",INDEX('Pricing (Drugs) SS'!$G:$G,MATCH(F95,'Pricing (Drugs) SS'!$A:$A,0)))</f>
        <v>DRUG ROOM</v>
      </c>
      <c r="R95" s="195" t="str">
        <f>INDEX('Pricing (Drugs) SS'!$H:$H,MATCH(F95,'Pricing (Drugs) SS'!$A:$A,0))</f>
        <v>Not on List</v>
      </c>
      <c r="S95" s="124" t="str">
        <f>IF(COUNTIFS('Version and Lists'!$F:$F,F95,'Version and Lists'!$G:$G,$L$22)&gt;0,"X","")</f>
        <v/>
      </c>
    </row>
    <row r="96" spans="1:19" ht="15" customHeight="1" x14ac:dyDescent="0.3">
      <c r="A96" s="185">
        <f>INDEX('McKesson Formulary Calculator'!$A$12:$A$434,MATCH(F96,'McKesson Formulary Calculator'!$F$12:$F$434,0))</f>
        <v>0</v>
      </c>
      <c r="B96" s="186" t="str">
        <f>INDEX('Pricing (Drugs) SS'!$B:$B,MATCH(F96,'Pricing (Drugs) SS'!$A:$A,0))</f>
        <v>HEPARIN SODIUM INJECTION, USP 10,000 USP UNITS/mL 1mL VIAL</v>
      </c>
      <c r="C96" s="187" t="str">
        <f>INDEX('Pricing (Drugs) SS'!$E:$E,MATCH(F96,'Pricing (Drugs) SS'!$A:$A,0))</f>
        <v>10,000usp per mL</v>
      </c>
      <c r="D96" s="188" t="str">
        <f>INDEX('Pricing (Drugs) SS'!$F:$F,MATCH(F96,'Pricing (Drugs) SS'!$A:$A,0))</f>
        <v>1mL</v>
      </c>
      <c r="E96" s="188" t="str">
        <f>INDEX('Pricing (Drugs) SS'!$D:$D,MATCH(F96,'Pricing (Drugs) SS'!$A:$A,0))</f>
        <v>0409-2721-01</v>
      </c>
      <c r="F96" s="189">
        <v>1013060</v>
      </c>
      <c r="G96" s="241">
        <f>INDEX('Pricing (Drugs) SS'!$I:$I,MATCH(F96,'Pricing (Drugs) SS'!$A:$A,0))</f>
        <v>3.2096</v>
      </c>
      <c r="H96" s="241">
        <f t="shared" si="2"/>
        <v>0</v>
      </c>
      <c r="I96" s="191">
        <f>VLOOKUP(F96,'Price Sheet'!$A:$C,3,FALSE)</f>
        <v>15.99</v>
      </c>
      <c r="J96" s="191"/>
      <c r="K96" s="192">
        <f t="shared" si="7"/>
        <v>15.99</v>
      </c>
      <c r="L96" s="192">
        <f t="shared" si="8"/>
        <v>0</v>
      </c>
      <c r="M96" s="193" t="str">
        <f t="shared" si="3"/>
        <v/>
      </c>
      <c r="N96" s="194" t="str">
        <f t="shared" si="4"/>
        <v/>
      </c>
      <c r="O96" s="194" t="str">
        <f t="shared" si="5"/>
        <v/>
      </c>
      <c r="P96" s="124" t="str">
        <f>INDEX('Pricing (Drugs) SS'!$C:$C,MATCH(F96,'Pricing (Drugs) SS'!$A:$A,0))</f>
        <v>ACTIVE</v>
      </c>
      <c r="Q96" s="124" t="str">
        <f>IF(AND($K$23="Extra DEA Req",S96="X"),"SAFE- CONTROLLED",INDEX('Pricing (Drugs) SS'!$G:$G,MATCH(F96,'Pricing (Drugs) SS'!$A:$A,0)))</f>
        <v>DRUG ROOM</v>
      </c>
      <c r="R96" s="195" t="str">
        <f>INDEX('Pricing (Drugs) SS'!$H:$H,MATCH(F96,'Pricing (Drugs) SS'!$A:$A,0))</f>
        <v>Not on List</v>
      </c>
      <c r="S96" s="124" t="str">
        <f>IF(COUNTIFS('Version and Lists'!$F:$F,F96,'Version and Lists'!$G:$G,$L$22)&gt;0,"X","")</f>
        <v/>
      </c>
    </row>
    <row r="97" spans="1:19" ht="15" customHeight="1" x14ac:dyDescent="0.3">
      <c r="A97" s="185">
        <f>INDEX('McKesson Formulary Calculator'!$A$12:$A$434,MATCH(F97,'McKesson Formulary Calculator'!$F$12:$F$434,0))</f>
        <v>0</v>
      </c>
      <c r="B97" s="186" t="str">
        <f>INDEX('Pricing (Drugs) SS'!$B:$B,MATCH(F97,'Pricing (Drugs) SS'!$A:$A,0))</f>
        <v>HEPARIN SODIUM INJECTION, USP 50,000 USP UNITS PER 5mL (10,000 USP UNITS per mL) 5mL VIAL</v>
      </c>
      <c r="C97" s="187" t="str">
        <f>INDEX('Pricing (Drugs) SS'!$E:$E,MATCH(F97,'Pricing (Drugs) SS'!$A:$A,0))</f>
        <v>10,000u/mL</v>
      </c>
      <c r="D97" s="188" t="str">
        <f>INDEX('Pricing (Drugs) SS'!$F:$F,MATCH(F97,'Pricing (Drugs) SS'!$A:$A,0))</f>
        <v>5mL</v>
      </c>
      <c r="E97" s="188" t="str">
        <f>INDEX('Pricing (Drugs) SS'!$D:$D,MATCH(F97,'Pricing (Drugs) SS'!$A:$A,0))</f>
        <v>63323-542-14</v>
      </c>
      <c r="F97" s="189">
        <v>1012150</v>
      </c>
      <c r="G97" s="241">
        <f>INDEX('Pricing (Drugs) SS'!$I:$I,MATCH(F97,'Pricing (Drugs) SS'!$A:$A,0))</f>
        <v>25.67</v>
      </c>
      <c r="H97" s="241">
        <f t="shared" si="2"/>
        <v>0</v>
      </c>
      <c r="I97" s="191">
        <f>VLOOKUP(F97,'Price Sheet'!$A:$C,3,FALSE)</f>
        <v>79.989999999999995</v>
      </c>
      <c r="J97" s="191"/>
      <c r="K97" s="192">
        <f t="shared" si="7"/>
        <v>79.989999999999995</v>
      </c>
      <c r="L97" s="192">
        <f t="shared" si="8"/>
        <v>0</v>
      </c>
      <c r="M97" s="193" t="str">
        <f t="shared" si="3"/>
        <v/>
      </c>
      <c r="N97" s="194" t="str">
        <f t="shared" si="4"/>
        <v/>
      </c>
      <c r="O97" s="194" t="str">
        <f t="shared" si="5"/>
        <v/>
      </c>
      <c r="P97" s="124" t="str">
        <f>INDEX('Pricing (Drugs) SS'!$C:$C,MATCH(F97,'Pricing (Drugs) SS'!$A:$A,0))</f>
        <v>ACTIVE</v>
      </c>
      <c r="Q97" s="124" t="str">
        <f>IF(AND($K$23="Extra DEA Req",S97="X"),"SAFE- CONTROLLED",INDEX('Pricing (Drugs) SS'!$G:$G,MATCH(F97,'Pricing (Drugs) SS'!$A:$A,0)))</f>
        <v>DRUG ROOM</v>
      </c>
      <c r="R97" s="195" t="str">
        <f>INDEX('Pricing (Drugs) SS'!$H:$H,MATCH(F97,'Pricing (Drugs) SS'!$A:$A,0))</f>
        <v>Not on List</v>
      </c>
      <c r="S97" s="124" t="str">
        <f>IF(COUNTIFS('Version and Lists'!$F:$F,F97,'Version and Lists'!$G:$G,$L$22)&gt;0,"X","")</f>
        <v/>
      </c>
    </row>
    <row r="98" spans="1:19" ht="15" customHeight="1" x14ac:dyDescent="0.3">
      <c r="A98" s="185">
        <f>INDEX('McKesson Formulary Calculator'!$A$12:$A$434,MATCH(F98,'McKesson Formulary Calculator'!$F$12:$F$434,0))</f>
        <v>0</v>
      </c>
      <c r="B98" s="186" t="str">
        <f>INDEX('Pricing (Drugs) SS'!$B:$B,MATCH(F98,'Pricing (Drugs) SS'!$A:$A,0))</f>
        <v>HEPARIN SODIUM IN 0.45% SODIUM CHLORIDE INJECTION (100 USP UNITS/mL) 250 mL</v>
      </c>
      <c r="C98" s="187" t="str">
        <f>INDEX('Pricing (Drugs) SS'!$E:$E,MATCH(F98,'Pricing (Drugs) SS'!$A:$A,0))</f>
        <v>100 USP UNITS/mL)</v>
      </c>
      <c r="D98" s="188" t="str">
        <f>INDEX('Pricing (Drugs) SS'!$F:$F,MATCH(F98,'Pricing (Drugs) SS'!$A:$A,0))</f>
        <v>250 mL</v>
      </c>
      <c r="E98" s="188" t="str">
        <f>INDEX('Pricing (Drugs) SS'!$D:$D,MATCH(F98,'Pricing (Drugs) SS'!$A:$A,0))</f>
        <v>0409-7650-62</v>
      </c>
      <c r="F98" s="189">
        <v>1011890</v>
      </c>
      <c r="G98" s="241">
        <f>INDEX('Pricing (Drugs) SS'!$I:$I,MATCH(F98,'Pricing (Drugs) SS'!$A:$A,0))</f>
        <v>14.2258333333333</v>
      </c>
      <c r="H98" s="241">
        <f t="shared" si="2"/>
        <v>0</v>
      </c>
      <c r="I98" s="191">
        <f>VLOOKUP(F98,'Price Sheet'!$A:$C,3,FALSE)</f>
        <v>49.99</v>
      </c>
      <c r="J98" s="191"/>
      <c r="K98" s="192">
        <f t="shared" si="7"/>
        <v>49.99</v>
      </c>
      <c r="L98" s="192">
        <f t="shared" si="8"/>
        <v>0</v>
      </c>
      <c r="M98" s="193" t="str">
        <f t="shared" si="3"/>
        <v/>
      </c>
      <c r="N98" s="194" t="str">
        <f t="shared" ref="N98:N161" si="9">IF(R98&lt;&gt;"Not on List","X","")</f>
        <v/>
      </c>
      <c r="O98" s="194" t="str">
        <f t="shared" si="5"/>
        <v/>
      </c>
      <c r="P98" s="124" t="str">
        <f>INDEX('Pricing (Drugs) SS'!$C:$C,MATCH(F98,'Pricing (Drugs) SS'!$A:$A,0))</f>
        <v>ACTIVE</v>
      </c>
      <c r="Q98" s="124" t="str">
        <f>IF(AND($K$23="Extra DEA Req",S98="X"),"SAFE- CONTROLLED",INDEX('Pricing (Drugs) SS'!$G:$G,MATCH(F98,'Pricing (Drugs) SS'!$A:$A,0)))</f>
        <v>DRUG ROOM</v>
      </c>
      <c r="R98" s="195" t="str">
        <f>INDEX('Pricing (Drugs) SS'!$H:$H,MATCH(F98,'Pricing (Drugs) SS'!$A:$A,0))</f>
        <v>Not on List</v>
      </c>
      <c r="S98" s="124" t="str">
        <f>IF(COUNTIFS('Version and Lists'!$F:$F,F98,'Version and Lists'!$G:$G,$L$22)&gt;0,"X","")</f>
        <v/>
      </c>
    </row>
    <row r="99" spans="1:19" ht="15" customHeight="1" x14ac:dyDescent="0.3">
      <c r="A99" s="185">
        <f>INDEX('McKesson Formulary Calculator'!$A$12:$A$434,MATCH(F99,'McKesson Formulary Calculator'!$F$12:$F$434,0))</f>
        <v>0</v>
      </c>
      <c r="B99" s="186" t="str">
        <f>INDEX('Pricing (Drugs) SS'!$B:$B,MATCH(F99,'Pricing (Drugs) SS'!$A:$A,0))</f>
        <v>HYDRALAZINE HYDROCHLORIDE INJECTION, USP 20mg per mL 1mL VIAL</v>
      </c>
      <c r="C99" s="187" t="str">
        <f>INDEX('Pricing (Drugs) SS'!$E:$E,MATCH(F99,'Pricing (Drugs) SS'!$A:$A,0))</f>
        <v>20mg/mL</v>
      </c>
      <c r="D99" s="188" t="str">
        <f>INDEX('Pricing (Drugs) SS'!$F:$F,MATCH(F99,'Pricing (Drugs) SS'!$A:$A,0))</f>
        <v>1mL</v>
      </c>
      <c r="E99" s="188" t="str">
        <f>INDEX('Pricing (Drugs) SS'!$D:$D,MATCH(F99,'Pricing (Drugs) SS'!$A:$A,0))</f>
        <v>63323-614-01</v>
      </c>
      <c r="F99" s="189">
        <v>1012170</v>
      </c>
      <c r="G99" s="241">
        <f>INDEX('Pricing (Drugs) SS'!$I:$I,MATCH(F99,'Pricing (Drugs) SS'!$A:$A,0))</f>
        <v>17.04</v>
      </c>
      <c r="H99" s="241">
        <f t="shared" ref="H99:H162" si="10">A99*G99</f>
        <v>0</v>
      </c>
      <c r="I99" s="191">
        <f>VLOOKUP(F99,'Price Sheet'!$A:$C,3,FALSE)</f>
        <v>49.99</v>
      </c>
      <c r="J99" s="191"/>
      <c r="K99" s="192">
        <f t="shared" si="7"/>
        <v>49.99</v>
      </c>
      <c r="L99" s="192">
        <f t="shared" si="8"/>
        <v>0</v>
      </c>
      <c r="M99" s="193" t="str">
        <f t="shared" ref="M99:M162" si="11">IF(AND(Q99&lt;&gt;"Drug Room",Q99&lt;&gt;"SAFE- CONTROLLED"),"C","")</f>
        <v/>
      </c>
      <c r="N99" s="194" t="str">
        <f t="shared" si="9"/>
        <v/>
      </c>
      <c r="O99" s="194" t="str">
        <f t="shared" ref="O99:O162" si="12">IF(Q99="Safe- Controlled","X","")</f>
        <v/>
      </c>
      <c r="P99" s="124" t="str">
        <f>INDEX('Pricing (Drugs) SS'!$C:$C,MATCH(F99,'Pricing (Drugs) SS'!$A:$A,0))</f>
        <v>ACTIVE</v>
      </c>
      <c r="Q99" s="124" t="str">
        <f>IF(AND($K$23="Extra DEA Req",S99="X"),"SAFE- CONTROLLED",INDEX('Pricing (Drugs) SS'!$G:$G,MATCH(F99,'Pricing (Drugs) SS'!$A:$A,0)))</f>
        <v>DRUG ROOM</v>
      </c>
      <c r="R99" s="195" t="str">
        <f>INDEX('Pricing (Drugs) SS'!$H:$H,MATCH(F99,'Pricing (Drugs) SS'!$A:$A,0))</f>
        <v>Not on List</v>
      </c>
      <c r="S99" s="124" t="str">
        <f>IF(COUNTIFS('Version and Lists'!$F:$F,F99,'Version and Lists'!$G:$G,$L$22)&gt;0,"X","")</f>
        <v/>
      </c>
    </row>
    <row r="100" spans="1:19" ht="15" customHeight="1" x14ac:dyDescent="0.3">
      <c r="A100" s="185">
        <f>INDEX('McKesson Formulary Calculator'!$A$12:$A$434,MATCH(F100,'McKesson Formulary Calculator'!$F$12:$F$434,0))</f>
        <v>0</v>
      </c>
      <c r="B100" s="186" t="str">
        <f>INDEX('Pricing (Drugs) SS'!$B:$B,MATCH(F100,'Pricing (Drugs) SS'!$A:$A,0))</f>
        <v>SOLU-CORTEF® 100mg 2mL ACT-O-VIAL®</v>
      </c>
      <c r="C100" s="187" t="str">
        <f>INDEX('Pricing (Drugs) SS'!$E:$E,MATCH(F100,'Pricing (Drugs) SS'!$A:$A,0))</f>
        <v>100mg/2mL</v>
      </c>
      <c r="D100" s="188" t="str">
        <f>INDEX('Pricing (Drugs) SS'!$F:$F,MATCH(F100,'Pricing (Drugs) SS'!$A:$A,0))</f>
        <v>2mL</v>
      </c>
      <c r="E100" s="188" t="str">
        <f>INDEX('Pricing (Drugs) SS'!$D:$D,MATCH(F100,'Pricing (Drugs) SS'!$A:$A,0))</f>
        <v>0009-0011-04</v>
      </c>
      <c r="F100" s="189">
        <v>1000640</v>
      </c>
      <c r="G100" s="241">
        <f>INDEX('Pricing (Drugs) SS'!$I:$I,MATCH(F100,'Pricing (Drugs) SS'!$A:$A,0))</f>
        <v>26.042400000000001</v>
      </c>
      <c r="H100" s="241">
        <f t="shared" si="10"/>
        <v>0</v>
      </c>
      <c r="I100" s="191">
        <f>VLOOKUP(F100,'Price Sheet'!$A:$C,3,FALSE)</f>
        <v>69.989999999999995</v>
      </c>
      <c r="J100" s="191"/>
      <c r="K100" s="192">
        <f t="shared" si="7"/>
        <v>69.989999999999995</v>
      </c>
      <c r="L100" s="192">
        <f t="shared" si="8"/>
        <v>0</v>
      </c>
      <c r="M100" s="193" t="str">
        <f t="shared" si="11"/>
        <v/>
      </c>
      <c r="N100" s="194" t="str">
        <f t="shared" si="9"/>
        <v/>
      </c>
      <c r="O100" s="194" t="str">
        <f t="shared" si="12"/>
        <v/>
      </c>
      <c r="P100" s="124" t="str">
        <f>INDEX('Pricing (Drugs) SS'!$C:$C,MATCH(F100,'Pricing (Drugs) SS'!$A:$A,0))</f>
        <v>ACTIVE</v>
      </c>
      <c r="Q100" s="124" t="str">
        <f>IF(AND($K$23="Extra DEA Req",S100="X"),"SAFE- CONTROLLED",INDEX('Pricing (Drugs) SS'!$G:$G,MATCH(F100,'Pricing (Drugs) SS'!$A:$A,0)))</f>
        <v>DRUG ROOM</v>
      </c>
      <c r="R100" s="195" t="str">
        <f>INDEX('Pricing (Drugs) SS'!$H:$H,MATCH(F100,'Pricing (Drugs) SS'!$A:$A,0))</f>
        <v>Not on List</v>
      </c>
      <c r="S100" s="124" t="str">
        <f>IF(COUNTIFS('Version and Lists'!$F:$F,F100,'Version and Lists'!$G:$G,$L$22)&gt;0,"X","")</f>
        <v/>
      </c>
    </row>
    <row r="101" spans="1:19" ht="15" customHeight="1" x14ac:dyDescent="0.3">
      <c r="A101" s="185">
        <f>INDEX('McKesson Formulary Calculator'!$A$12:$A$434,MATCH(F101,'McKesson Formulary Calculator'!$F$12:$F$434,0))</f>
        <v>0</v>
      </c>
      <c r="B101" s="186" t="str">
        <f>INDEX('Pricing (Drugs) SS'!$B:$B,MATCH(F101,'Pricing (Drugs) SS'!$A:$A,0))</f>
        <v>SOLU-CORTEF® 250mg 2mL ACT-O-VIAL®</v>
      </c>
      <c r="C101" s="187" t="str">
        <f>INDEX('Pricing (Drugs) SS'!$E:$E,MATCH(F101,'Pricing (Drugs) SS'!$A:$A,0))</f>
        <v>250mg</v>
      </c>
      <c r="D101" s="188" t="str">
        <f>INDEX('Pricing (Drugs) SS'!$F:$F,MATCH(F101,'Pricing (Drugs) SS'!$A:$A,0))</f>
        <v>2mL</v>
      </c>
      <c r="E101" s="188" t="str">
        <f>INDEX('Pricing (Drugs) SS'!$D:$D,MATCH(F101,'Pricing (Drugs) SS'!$A:$A,0))</f>
        <v>0009-0013-06</v>
      </c>
      <c r="F101" s="189">
        <v>1000650</v>
      </c>
      <c r="G101" s="241">
        <f>INDEX('Pricing (Drugs) SS'!$I:$I,MATCH(F101,'Pricing (Drugs) SS'!$A:$A,0))</f>
        <v>50.459200000000003</v>
      </c>
      <c r="H101" s="241">
        <f t="shared" si="10"/>
        <v>0</v>
      </c>
      <c r="I101" s="191">
        <f>VLOOKUP(F101,'Price Sheet'!$A:$C,3,FALSE)</f>
        <v>89.99</v>
      </c>
      <c r="J101" s="191"/>
      <c r="K101" s="192">
        <f t="shared" si="7"/>
        <v>89.99</v>
      </c>
      <c r="L101" s="192">
        <f t="shared" si="8"/>
        <v>0</v>
      </c>
      <c r="M101" s="193" t="str">
        <f t="shared" si="11"/>
        <v/>
      </c>
      <c r="N101" s="194" t="str">
        <f t="shared" si="9"/>
        <v/>
      </c>
      <c r="O101" s="194" t="str">
        <f t="shared" si="12"/>
        <v/>
      </c>
      <c r="P101" s="124" t="str">
        <f>INDEX('Pricing (Drugs) SS'!$C:$C,MATCH(F101,'Pricing (Drugs) SS'!$A:$A,0))</f>
        <v>ACTIVE</v>
      </c>
      <c r="Q101" s="124" t="str">
        <f>IF(AND($K$23="Extra DEA Req",S101="X"),"SAFE- CONTROLLED",INDEX('Pricing (Drugs) SS'!$G:$G,MATCH(F101,'Pricing (Drugs) SS'!$A:$A,0)))</f>
        <v>DRUG ROOM</v>
      </c>
      <c r="R101" s="195" t="str">
        <f>INDEX('Pricing (Drugs) SS'!$H:$H,MATCH(F101,'Pricing (Drugs) SS'!$A:$A,0))</f>
        <v>Not on List</v>
      </c>
      <c r="S101" s="124" t="str">
        <f>IF(COUNTIFS('Version and Lists'!$F:$F,F101,'Version and Lists'!$G:$G,$L$22)&gt;0,"X","")</f>
        <v/>
      </c>
    </row>
    <row r="102" spans="1:19" ht="15" customHeight="1" x14ac:dyDescent="0.3">
      <c r="A102" s="185">
        <f>INDEX('McKesson Formulary Calculator'!$A$12:$A$434,MATCH(F102,'McKesson Formulary Calculator'!$F$12:$F$434,0))</f>
        <v>0</v>
      </c>
      <c r="B102" s="186" t="str">
        <f>INDEX('Pricing (Drugs) SS'!$B:$B,MATCH(F102,'Pricing (Drugs) SS'!$A:$A,0))</f>
        <v>HYLENEX® RECOMBINANT 1mL (HYALURONIDASE HUMAN INJECTION) 150 USP UNITS/mL 1mL VIAL</v>
      </c>
      <c r="C102" s="187" t="str">
        <f>INDEX('Pricing (Drugs) SS'!$E:$E,MATCH(F102,'Pricing (Drugs) SS'!$A:$A,0))</f>
        <v>150 USP Units/mL</v>
      </c>
      <c r="D102" s="188" t="str">
        <f>INDEX('Pricing (Drugs) SS'!$F:$F,MATCH(F102,'Pricing (Drugs) SS'!$A:$A,0))</f>
        <v>1mL</v>
      </c>
      <c r="E102" s="188" t="str">
        <f>INDEX('Pricing (Drugs) SS'!$D:$D,MATCH(F102,'Pricing (Drugs) SS'!$A:$A,0))</f>
        <v>18657-117-04</v>
      </c>
      <c r="F102" s="189">
        <v>1016120</v>
      </c>
      <c r="G102" s="241">
        <f>INDEX('Pricing (Drugs) SS'!$I:$I,MATCH(F102,'Pricing (Drugs) SS'!$A:$A,0))</f>
        <v>59.147500000000001</v>
      </c>
      <c r="H102" s="241">
        <f t="shared" si="10"/>
        <v>0</v>
      </c>
      <c r="I102" s="191">
        <f>VLOOKUP(F102,'Price Sheet'!$A:$C,3,FALSE)</f>
        <v>175.99</v>
      </c>
      <c r="J102" s="191"/>
      <c r="K102" s="192">
        <f t="shared" si="7"/>
        <v>175.99</v>
      </c>
      <c r="L102" s="192">
        <f t="shared" si="8"/>
        <v>0</v>
      </c>
      <c r="M102" s="193" t="str">
        <f t="shared" si="11"/>
        <v>C</v>
      </c>
      <c r="N102" s="194" t="str">
        <f t="shared" si="9"/>
        <v/>
      </c>
      <c r="O102" s="194" t="str">
        <f t="shared" si="12"/>
        <v/>
      </c>
      <c r="P102" s="124" t="str">
        <f>INDEX('Pricing (Drugs) SS'!$C:$C,MATCH(F102,'Pricing (Drugs) SS'!$A:$A,0))</f>
        <v>RESTRICTED</v>
      </c>
      <c r="Q102" s="124" t="str">
        <f>IF(AND($K$23="Extra DEA Req",S102="X"),"SAFE- CONTROLLED",INDEX('Pricing (Drugs) SS'!$G:$G,MATCH(F102,'Pricing (Drugs) SS'!$A:$A,0)))</f>
        <v>REFRIGERATED</v>
      </c>
      <c r="R102" s="195" t="str">
        <f>INDEX('Pricing (Drugs) SS'!$H:$H,MATCH(F102,'Pricing (Drugs) SS'!$A:$A,0))</f>
        <v>Not on List</v>
      </c>
      <c r="S102" s="124" t="str">
        <f>IF(COUNTIFS('Version and Lists'!$F:$F,F102,'Version and Lists'!$G:$G,$L$22)&gt;0,"X","")</f>
        <v/>
      </c>
    </row>
    <row r="103" spans="1:19" ht="15" customHeight="1" x14ac:dyDescent="0.3">
      <c r="A103" s="185">
        <f>INDEX('McKesson Formulary Calculator'!$A$12:$A$434,MATCH(F103,'McKesson Formulary Calculator'!$F$12:$F$434,0))</f>
        <v>0</v>
      </c>
      <c r="B103" s="186" t="str">
        <f>INDEX('Pricing (Drugs) SS'!$B:$B,MATCH(F103,'Pricing (Drugs) SS'!$A:$A,0))</f>
        <v>KETOROLAC TROMETHAMINE INJ., USP 30mg/mL 1mL VIAL</v>
      </c>
      <c r="C103" s="187" t="str">
        <f>INDEX('Pricing (Drugs) SS'!$E:$E,MATCH(F103,'Pricing (Drugs) SS'!$A:$A,0))</f>
        <v>30mg/mL</v>
      </c>
      <c r="D103" s="188" t="str">
        <f>INDEX('Pricing (Drugs) SS'!$F:$F,MATCH(F103,'Pricing (Drugs) SS'!$A:$A,0))</f>
        <v>1mL</v>
      </c>
      <c r="E103" s="188" t="str">
        <f>INDEX('Pricing (Drugs) SS'!$D:$D,MATCH(F103,'Pricing (Drugs) SS'!$A:$A,0))</f>
        <v>0409-3795-01</v>
      </c>
      <c r="F103" s="189">
        <v>1008010</v>
      </c>
      <c r="G103" s="241">
        <f>INDEX('Pricing (Drugs) SS'!$I:$I,MATCH(F103,'Pricing (Drugs) SS'!$A:$A,0))</f>
        <v>0.35</v>
      </c>
      <c r="H103" s="241">
        <f t="shared" si="10"/>
        <v>0</v>
      </c>
      <c r="I103" s="191">
        <f>VLOOKUP(F103,'Price Sheet'!$A:$C,3,FALSE)</f>
        <v>8.99</v>
      </c>
      <c r="J103" s="191"/>
      <c r="K103" s="192">
        <f t="shared" si="7"/>
        <v>8.99</v>
      </c>
      <c r="L103" s="192">
        <f t="shared" si="8"/>
        <v>0</v>
      </c>
      <c r="M103" s="193" t="str">
        <f t="shared" si="11"/>
        <v/>
      </c>
      <c r="N103" s="194" t="str">
        <f t="shared" si="9"/>
        <v/>
      </c>
      <c r="O103" s="194" t="str">
        <f t="shared" si="12"/>
        <v/>
      </c>
      <c r="P103" s="124" t="str">
        <f>INDEX('Pricing (Drugs) SS'!$C:$C,MATCH(F103,'Pricing (Drugs) SS'!$A:$A,0))</f>
        <v>ACTIVE</v>
      </c>
      <c r="Q103" s="124" t="str">
        <f>IF(AND($K$23="Extra DEA Req",S103="X"),"SAFE- CONTROLLED",INDEX('Pricing (Drugs) SS'!$G:$G,MATCH(F103,'Pricing (Drugs) SS'!$A:$A,0)))</f>
        <v>DRUG ROOM</v>
      </c>
      <c r="R103" s="195" t="str">
        <f>INDEX('Pricing (Drugs) SS'!$H:$H,MATCH(F103,'Pricing (Drugs) SS'!$A:$A,0))</f>
        <v>Not on List</v>
      </c>
      <c r="S103" s="124" t="str">
        <f>IF(COUNTIFS('Version and Lists'!$F:$F,F103,'Version and Lists'!$G:$G,$L$22)&gt;0,"X","")</f>
        <v/>
      </c>
    </row>
    <row r="104" spans="1:19" ht="15" customHeight="1" x14ac:dyDescent="0.3">
      <c r="A104" s="185">
        <f>INDEX('McKesson Formulary Calculator'!$A$12:$A$434,MATCH(F104,'McKesson Formulary Calculator'!$F$12:$F$434,0))</f>
        <v>0</v>
      </c>
      <c r="B104" s="186" t="str">
        <f>INDEX('Pricing (Drugs) SS'!$B:$B,MATCH(F104,'Pricing (Drugs) SS'!$A:$A,0))</f>
        <v>KETOROLAC TROMETHAMINE INJ., USP 60mg/2mL (30mg/mL) 2mL VIAL</v>
      </c>
      <c r="C104" s="187" t="str">
        <f>INDEX('Pricing (Drugs) SS'!$E:$E,MATCH(F104,'Pricing (Drugs) SS'!$A:$A,0))</f>
        <v>60mg/2mL</v>
      </c>
      <c r="D104" s="188" t="str">
        <f>INDEX('Pricing (Drugs) SS'!$F:$F,MATCH(F104,'Pricing (Drugs) SS'!$A:$A,0))</f>
        <v>2mL</v>
      </c>
      <c r="E104" s="188" t="str">
        <f>INDEX('Pricing (Drugs) SS'!$D:$D,MATCH(F104,'Pricing (Drugs) SS'!$A:$A,0))</f>
        <v>0409-3796-01</v>
      </c>
      <c r="F104" s="189">
        <v>1008040</v>
      </c>
      <c r="G104" s="241">
        <f>INDEX('Pricing (Drugs) SS'!$I:$I,MATCH(F104,'Pricing (Drugs) SS'!$A:$A,0))</f>
        <v>0.7</v>
      </c>
      <c r="H104" s="241">
        <f t="shared" si="10"/>
        <v>0</v>
      </c>
      <c r="I104" s="191">
        <f>VLOOKUP(F104,'Price Sheet'!$A:$C,3,FALSE)</f>
        <v>10.99</v>
      </c>
      <c r="J104" s="191"/>
      <c r="K104" s="192">
        <f t="shared" si="7"/>
        <v>10.99</v>
      </c>
      <c r="L104" s="192">
        <f t="shared" si="8"/>
        <v>0</v>
      </c>
      <c r="M104" s="193" t="str">
        <f t="shared" si="11"/>
        <v/>
      </c>
      <c r="N104" s="194" t="str">
        <f t="shared" si="9"/>
        <v/>
      </c>
      <c r="O104" s="194" t="str">
        <f t="shared" si="12"/>
        <v/>
      </c>
      <c r="P104" s="124" t="str">
        <f>INDEX('Pricing (Drugs) SS'!$C:$C,MATCH(F104,'Pricing (Drugs) SS'!$A:$A,0))</f>
        <v>ACTIVE</v>
      </c>
      <c r="Q104" s="124" t="str">
        <f>IF(AND($K$23="Extra DEA Req",S104="X"),"SAFE- CONTROLLED",INDEX('Pricing (Drugs) SS'!$G:$G,MATCH(F104,'Pricing (Drugs) SS'!$A:$A,0)))</f>
        <v>DRUG ROOM</v>
      </c>
      <c r="R104" s="195" t="str">
        <f>INDEX('Pricing (Drugs) SS'!$H:$H,MATCH(F104,'Pricing (Drugs) SS'!$A:$A,0))</f>
        <v>Not on List</v>
      </c>
      <c r="S104" s="124" t="str">
        <f>IF(COUNTIFS('Version and Lists'!$F:$F,F104,'Version and Lists'!$G:$G,$L$22)&gt;0,"X","")</f>
        <v/>
      </c>
    </row>
    <row r="105" spans="1:19" ht="18.75" x14ac:dyDescent="0.3">
      <c r="A105" s="185">
        <f>INDEX('McKesson Formulary Calculator'!$A$12:$A$434,MATCH(F105,'McKesson Formulary Calculator'!$F$12:$F$434,0))</f>
        <v>0</v>
      </c>
      <c r="B105" s="186" t="str">
        <f>INDEX('Pricing (Drugs) SS'!$B:$B,MATCH(F105,'Pricing (Drugs) SS'!$A:$A,0))</f>
        <v>ESMOLOL HYDROCHLORIDE INJECTION 100mg per 10mL (10mg/mL) 10mL VIAL</v>
      </c>
      <c r="C105" s="187" t="str">
        <f>INDEX('Pricing (Drugs) SS'!$E:$E,MATCH(F105,'Pricing (Drugs) SS'!$A:$A,0))</f>
        <v>10mg/mL</v>
      </c>
      <c r="D105" s="188" t="str">
        <f>INDEX('Pricing (Drugs) SS'!$F:$F,MATCH(F105,'Pricing (Drugs) SS'!$A:$A,0))</f>
        <v>10mL</v>
      </c>
      <c r="E105" s="188" t="str">
        <f>INDEX('Pricing (Drugs) SS'!$D:$D,MATCH(F105,'Pricing (Drugs) SS'!$A:$A,0))</f>
        <v>55150-194-10</v>
      </c>
      <c r="F105" s="189">
        <v>1012640</v>
      </c>
      <c r="G105" s="241">
        <f>INDEX('Pricing (Drugs) SS'!$I:$I,MATCH(F105,'Pricing (Drugs) SS'!$A:$A,0))</f>
        <v>2.04</v>
      </c>
      <c r="H105" s="241">
        <f t="shared" si="10"/>
        <v>0</v>
      </c>
      <c r="I105" s="191">
        <f>VLOOKUP(F105,'Price Sheet'!$A:$C,3,FALSE)</f>
        <v>22.99</v>
      </c>
      <c r="J105" s="191"/>
      <c r="K105" s="192">
        <f t="shared" ref="K105:K163" si="13">J105+I105</f>
        <v>22.99</v>
      </c>
      <c r="L105" s="192">
        <f t="shared" si="8"/>
        <v>0</v>
      </c>
      <c r="M105" s="193" t="str">
        <f t="shared" si="11"/>
        <v/>
      </c>
      <c r="N105" s="194" t="str">
        <f t="shared" si="9"/>
        <v/>
      </c>
      <c r="O105" s="194" t="str">
        <f t="shared" si="12"/>
        <v/>
      </c>
      <c r="P105" s="124" t="str">
        <f>INDEX('Pricing (Drugs) SS'!$C:$C,MATCH(F105,'Pricing (Drugs) SS'!$A:$A,0))</f>
        <v>ACTIVE</v>
      </c>
      <c r="Q105" s="124" t="str">
        <f>IF(AND($K$23="Extra DEA Req",S105="X"),"SAFE- CONTROLLED",INDEX('Pricing (Drugs) SS'!$G:$G,MATCH(F105,'Pricing (Drugs) SS'!$A:$A,0)))</f>
        <v>DRUG ROOM</v>
      </c>
      <c r="R105" s="195" t="str">
        <f>INDEX('Pricing (Drugs) SS'!$H:$H,MATCH(F105,'Pricing (Drugs) SS'!$A:$A,0))</f>
        <v>Not on List</v>
      </c>
      <c r="S105" s="124" t="str">
        <f>IF(COUNTIFS('Version and Lists'!$F:$F,F105,'Version and Lists'!$G:$G,$L$22)&gt;0,"X","")</f>
        <v/>
      </c>
    </row>
    <row r="106" spans="1:19" ht="18.75" x14ac:dyDescent="0.3">
      <c r="A106" s="185">
        <f>INDEX('McKesson Formulary Calculator'!$A$12:$A$434,MATCH(F106,'McKesson Formulary Calculator'!$F$12:$F$434,0))</f>
        <v>0</v>
      </c>
      <c r="B106" s="186" t="str">
        <f>INDEX('Pricing (Drugs) SS'!$B:$B,MATCH(F106,'Pricing (Drugs) SS'!$A:$A,0))</f>
        <v>LABETALOL HCl INJECTION, USP 100mg/20mL (5mg/mL) 20mL VIAL BOXED</v>
      </c>
      <c r="C106" s="187" t="str">
        <f>INDEX('Pricing (Drugs) SS'!$E:$E,MATCH(F106,'Pricing (Drugs) SS'!$A:$A,0))</f>
        <v>5mg/mL</v>
      </c>
      <c r="D106" s="188" t="str">
        <f>INDEX('Pricing (Drugs) SS'!$F:$F,MATCH(F106,'Pricing (Drugs) SS'!$A:$A,0))</f>
        <v>20mL</v>
      </c>
      <c r="E106" s="188" t="str">
        <f>INDEX('Pricing (Drugs) SS'!$D:$D,MATCH(F106,'Pricing (Drugs) SS'!$A:$A,0))</f>
        <v>0143-9622-01</v>
      </c>
      <c r="F106" s="189">
        <v>1018070</v>
      </c>
      <c r="G106" s="241">
        <f>INDEX('Pricing (Drugs) SS'!$I:$I,MATCH(F106,'Pricing (Drugs) SS'!$A:$A,0))</f>
        <v>7</v>
      </c>
      <c r="H106" s="241">
        <f t="shared" si="10"/>
        <v>0</v>
      </c>
      <c r="I106" s="191">
        <f>VLOOKUP(F106,'Price Sheet'!$A:$C,3,FALSE)</f>
        <v>22.99</v>
      </c>
      <c r="J106" s="191"/>
      <c r="K106" s="192">
        <f t="shared" si="13"/>
        <v>22.99</v>
      </c>
      <c r="L106" s="192">
        <f t="shared" si="8"/>
        <v>0</v>
      </c>
      <c r="M106" s="193" t="str">
        <f t="shared" si="11"/>
        <v/>
      </c>
      <c r="N106" s="194" t="str">
        <f t="shared" si="9"/>
        <v/>
      </c>
      <c r="O106" s="194" t="str">
        <f t="shared" si="12"/>
        <v/>
      </c>
      <c r="P106" s="124" t="str">
        <f>INDEX('Pricing (Drugs) SS'!$C:$C,MATCH(F106,'Pricing (Drugs) SS'!$A:$A,0))</f>
        <v>ACTIVE</v>
      </c>
      <c r="Q106" s="124" t="str">
        <f>IF(AND($K$23="Extra DEA Req",S106="X"),"SAFE- CONTROLLED",INDEX('Pricing (Drugs) SS'!$G:$G,MATCH(F106,'Pricing (Drugs) SS'!$A:$A,0)))</f>
        <v>DRUG ROOM</v>
      </c>
      <c r="R106" s="195" t="str">
        <f>INDEX('Pricing (Drugs) SS'!$H:$H,MATCH(F106,'Pricing (Drugs) SS'!$A:$A,0))</f>
        <v>Not on List</v>
      </c>
      <c r="S106" s="124" t="str">
        <f>IF(COUNTIFS('Version and Lists'!$F:$F,F106,'Version and Lists'!$G:$G,$L$22)&gt;0,"X","")</f>
        <v/>
      </c>
    </row>
    <row r="107" spans="1:19" ht="18.75" x14ac:dyDescent="0.3">
      <c r="A107" s="185">
        <f>INDEX('McKesson Formulary Calculator'!$A$12:$A$434,MATCH(F107,'McKesson Formulary Calculator'!$F$12:$F$434,0))</f>
        <v>0</v>
      </c>
      <c r="B107" s="186" t="str">
        <f>INDEX('Pricing (Drugs) SS'!$B:$B,MATCH(F107,'Pricing (Drugs) SS'!$A:$A,0))</f>
        <v>METOPROLOL TARTRATE INJECTION, USP 5mg/5mL (1mg PER mL) 5mL VIAL</v>
      </c>
      <c r="C107" s="187" t="str">
        <f>INDEX('Pricing (Drugs) SS'!$E:$E,MATCH(F107,'Pricing (Drugs) SS'!$A:$A,0))</f>
        <v>1mg/mL</v>
      </c>
      <c r="D107" s="188" t="str">
        <f>INDEX('Pricing (Drugs) SS'!$F:$F,MATCH(F107,'Pricing (Drugs) SS'!$A:$A,0))</f>
        <v>5mL</v>
      </c>
      <c r="E107" s="188" t="str">
        <f>INDEX('Pricing (Drugs) SS'!$D:$D,MATCH(F107,'Pricing (Drugs) SS'!$A:$A,0))</f>
        <v>0409-1778-05</v>
      </c>
      <c r="F107" s="189">
        <v>1012980</v>
      </c>
      <c r="G107" s="241">
        <f>INDEX('Pricing (Drugs) SS'!$I:$I,MATCH(F107,'Pricing (Drugs) SS'!$A:$A,0))</f>
        <v>1.444</v>
      </c>
      <c r="H107" s="241">
        <f t="shared" si="10"/>
        <v>0</v>
      </c>
      <c r="I107" s="191">
        <f>VLOOKUP(F107,'Price Sheet'!$A:$C,3,FALSE)</f>
        <v>11.49</v>
      </c>
      <c r="J107" s="191"/>
      <c r="K107" s="192">
        <f t="shared" si="13"/>
        <v>11.49</v>
      </c>
      <c r="L107" s="192">
        <f t="shared" si="8"/>
        <v>0</v>
      </c>
      <c r="M107" s="193" t="str">
        <f t="shared" si="11"/>
        <v/>
      </c>
      <c r="N107" s="194" t="str">
        <f t="shared" si="9"/>
        <v/>
      </c>
      <c r="O107" s="194" t="str">
        <f t="shared" si="12"/>
        <v/>
      </c>
      <c r="P107" s="124" t="str">
        <f>INDEX('Pricing (Drugs) SS'!$C:$C,MATCH(F107,'Pricing (Drugs) SS'!$A:$A,0))</f>
        <v>ACTIVE</v>
      </c>
      <c r="Q107" s="124" t="str">
        <f>IF(AND($K$23="Extra DEA Req",S107="X"),"SAFE- CONTROLLED",INDEX('Pricing (Drugs) SS'!$G:$G,MATCH(F107,'Pricing (Drugs) SS'!$A:$A,0)))</f>
        <v>DRUG ROOM</v>
      </c>
      <c r="R107" s="195" t="str">
        <f>INDEX('Pricing (Drugs) SS'!$H:$H,MATCH(F107,'Pricing (Drugs) SS'!$A:$A,0))</f>
        <v>Not on List</v>
      </c>
      <c r="S107" s="124" t="str">
        <f>IF(COUNTIFS('Version and Lists'!$F:$F,F107,'Version and Lists'!$G:$G,$L$22)&gt;0,"X","")</f>
        <v/>
      </c>
    </row>
    <row r="108" spans="1:19" ht="18.75" x14ac:dyDescent="0.3">
      <c r="A108" s="185">
        <f>INDEX('McKesson Formulary Calculator'!$A$12:$A$434,MATCH(F108,'McKesson Formulary Calculator'!$F$12:$F$434,0))</f>
        <v>0</v>
      </c>
      <c r="B108" s="186" t="str">
        <f>INDEX('Pricing (Drugs) SS'!$B:$B,MATCH(F108,'Pricing (Drugs) SS'!$A:$A,0))</f>
        <v>PROPRANOLOL HYDROCHLORIDE INJECTION, USP 1mg/mL 1mL VIAL</v>
      </c>
      <c r="C108" s="187" t="str">
        <f>INDEX('Pricing (Drugs) SS'!$E:$E,MATCH(F108,'Pricing (Drugs) SS'!$A:$A,0))</f>
        <v>1mg/mL</v>
      </c>
      <c r="D108" s="188" t="str">
        <f>INDEX('Pricing (Drugs) SS'!$F:$F,MATCH(F108,'Pricing (Drugs) SS'!$A:$A,0))</f>
        <v>1mL</v>
      </c>
      <c r="E108" s="188" t="str">
        <f>INDEX('Pricing (Drugs) SS'!$D:$D,MATCH(F108,'Pricing (Drugs) SS'!$A:$A,0))</f>
        <v>0143-9872-10</v>
      </c>
      <c r="F108" s="189">
        <v>1010110</v>
      </c>
      <c r="G108" s="241">
        <f>INDEX('Pricing (Drugs) SS'!$I:$I,MATCH(F108,'Pricing (Drugs) SS'!$A:$A,0))</f>
        <v>2.468</v>
      </c>
      <c r="H108" s="241">
        <f t="shared" si="10"/>
        <v>0</v>
      </c>
      <c r="I108" s="191">
        <f>VLOOKUP(F108,'Price Sheet'!$A:$C,3,FALSE)</f>
        <v>23.69</v>
      </c>
      <c r="J108" s="191"/>
      <c r="K108" s="192">
        <f t="shared" si="13"/>
        <v>23.69</v>
      </c>
      <c r="L108" s="192">
        <f t="shared" si="8"/>
        <v>0</v>
      </c>
      <c r="M108" s="193" t="str">
        <f t="shared" si="11"/>
        <v/>
      </c>
      <c r="N108" s="194" t="str">
        <f t="shared" si="9"/>
        <v/>
      </c>
      <c r="O108" s="194" t="str">
        <f t="shared" si="12"/>
        <v/>
      </c>
      <c r="P108" s="124" t="str">
        <f>INDEX('Pricing (Drugs) SS'!$C:$C,MATCH(F108,'Pricing (Drugs) SS'!$A:$A,0))</f>
        <v>ACTIVE</v>
      </c>
      <c r="Q108" s="124" t="str">
        <f>IF(AND($K$23="Extra DEA Req",S108="X"),"SAFE- CONTROLLED",INDEX('Pricing (Drugs) SS'!$G:$G,MATCH(F108,'Pricing (Drugs) SS'!$A:$A,0)))</f>
        <v>DRUG ROOM</v>
      </c>
      <c r="R108" s="195" t="str">
        <f>INDEX('Pricing (Drugs) SS'!$H:$H,MATCH(F108,'Pricing (Drugs) SS'!$A:$A,0))</f>
        <v>Not on List</v>
      </c>
      <c r="S108" s="124" t="str">
        <f>IF(COUNTIFS('Version and Lists'!$F:$F,F108,'Version and Lists'!$G:$G,$L$22)&gt;0,"X","")</f>
        <v/>
      </c>
    </row>
    <row r="109" spans="1:19" ht="18.75" x14ac:dyDescent="0.3">
      <c r="A109" s="185">
        <f>INDEX('McKesson Formulary Calculator'!$A$12:$A$434,MATCH(F109,'McKesson Formulary Calculator'!$F$12:$F$434,0))</f>
        <v>0</v>
      </c>
      <c r="B109" s="186" t="str">
        <f>INDEX('Pricing (Drugs) SS'!$B:$B,MATCH(F109,'Pricing (Drugs) SS'!$A:$A,0))</f>
        <v>LACTATED RINGER'S AND 5% DEXTROSE INJECTION, USP 1000mL BAG</v>
      </c>
      <c r="C109" s="187" t="str">
        <f>INDEX('Pricing (Drugs) SS'!$E:$E,MATCH(F109,'Pricing (Drugs) SS'!$A:$A,0))</f>
        <v>600mg/100mL</v>
      </c>
      <c r="D109" s="188" t="str">
        <f>INDEX('Pricing (Drugs) SS'!$F:$F,MATCH(F109,'Pricing (Drugs) SS'!$A:$A,0))</f>
        <v>1000mL</v>
      </c>
      <c r="E109" s="188" t="str">
        <f>INDEX('Pricing (Drugs) SS'!$D:$D,MATCH(F109,'Pricing (Drugs) SS'!$A:$A,0))</f>
        <v>0990-7929-09</v>
      </c>
      <c r="F109" s="189">
        <v>1014210</v>
      </c>
      <c r="G109" s="241">
        <f>INDEX('Pricing (Drugs) SS'!$I:$I,MATCH(F109,'Pricing (Drugs) SS'!$A:$A,0))</f>
        <v>4.75</v>
      </c>
      <c r="H109" s="241">
        <f t="shared" si="10"/>
        <v>0</v>
      </c>
      <c r="I109" s="191">
        <f>VLOOKUP(F109,'Price Sheet'!$A:$C,3,FALSE)</f>
        <v>20</v>
      </c>
      <c r="J109" s="191"/>
      <c r="K109" s="192">
        <f t="shared" si="13"/>
        <v>20</v>
      </c>
      <c r="L109" s="192">
        <f t="shared" si="8"/>
        <v>0</v>
      </c>
      <c r="M109" s="193" t="str">
        <f t="shared" si="11"/>
        <v/>
      </c>
      <c r="N109" s="194" t="str">
        <f t="shared" si="9"/>
        <v/>
      </c>
      <c r="O109" s="194" t="str">
        <f t="shared" si="12"/>
        <v/>
      </c>
      <c r="P109" s="124" t="str">
        <f>INDEX('Pricing (Drugs) SS'!$C:$C,MATCH(F109,'Pricing (Drugs) SS'!$A:$A,0))</f>
        <v>ACTIVE</v>
      </c>
      <c r="Q109" s="124" t="str">
        <f>IF(AND($K$23="Extra DEA Req",S109="X"),"SAFE- CONTROLLED",INDEX('Pricing (Drugs) SS'!$G:$G,MATCH(F109,'Pricing (Drugs) SS'!$A:$A,0)))</f>
        <v>DRUG ROOM</v>
      </c>
      <c r="R109" s="195" t="str">
        <f>INDEX('Pricing (Drugs) SS'!$H:$H,MATCH(F109,'Pricing (Drugs) SS'!$A:$A,0))</f>
        <v>Not on List</v>
      </c>
      <c r="S109" s="124" t="str">
        <f>IF(COUNTIFS('Version and Lists'!$F:$F,F109,'Version and Lists'!$G:$G,$L$22)&gt;0,"X","")</f>
        <v/>
      </c>
    </row>
    <row r="110" spans="1:19" ht="18.75" x14ac:dyDescent="0.3">
      <c r="A110" s="185">
        <f>INDEX('McKesson Formulary Calculator'!$A$12:$A$434,MATCH(F110,'McKesson Formulary Calculator'!$F$12:$F$434,0))</f>
        <v>0</v>
      </c>
      <c r="B110" s="186" t="str">
        <f>INDEX('Pricing (Drugs) SS'!$B:$B,MATCH(F110,'Pricing (Drugs) SS'!$A:$A,0))</f>
        <v>LACTATED RINGER'S INJECTION, USP 1000mL BAG</v>
      </c>
      <c r="C110" s="187">
        <f>INDEX('Pricing (Drugs) SS'!$E:$E,MATCH(F110,'Pricing (Drugs) SS'!$A:$A,0))</f>
        <v>0</v>
      </c>
      <c r="D110" s="188" t="str">
        <f>INDEX('Pricing (Drugs) SS'!$F:$F,MATCH(F110,'Pricing (Drugs) SS'!$A:$A,0))</f>
        <v>1000mL</v>
      </c>
      <c r="E110" s="188" t="str">
        <f>INDEX('Pricing (Drugs) SS'!$D:$D,MATCH(F110,'Pricing (Drugs) SS'!$A:$A,0))</f>
        <v>0990-7953-09</v>
      </c>
      <c r="F110" s="189">
        <v>1013810</v>
      </c>
      <c r="G110" s="241">
        <f>INDEX('Pricing (Drugs) SS'!$I:$I,MATCH(F110,'Pricing (Drugs) SS'!$A:$A,0))</f>
        <v>3.75</v>
      </c>
      <c r="H110" s="241">
        <f t="shared" si="10"/>
        <v>0</v>
      </c>
      <c r="I110" s="191">
        <f>VLOOKUP(F110,'Price Sheet'!$A:$C,3,FALSE)</f>
        <v>20</v>
      </c>
      <c r="J110" s="191"/>
      <c r="K110" s="192">
        <f t="shared" si="13"/>
        <v>20</v>
      </c>
      <c r="L110" s="192">
        <f t="shared" si="8"/>
        <v>0</v>
      </c>
      <c r="M110" s="193" t="str">
        <f t="shared" si="11"/>
        <v/>
      </c>
      <c r="N110" s="194" t="str">
        <f t="shared" si="9"/>
        <v/>
      </c>
      <c r="O110" s="194" t="str">
        <f t="shared" si="12"/>
        <v/>
      </c>
      <c r="P110" s="124" t="str">
        <f>INDEX('Pricing (Drugs) SS'!$C:$C,MATCH(F110,'Pricing (Drugs) SS'!$A:$A,0))</f>
        <v>ACTIVE</v>
      </c>
      <c r="Q110" s="124" t="str">
        <f>IF(AND($K$23="Extra DEA Req",S110="X"),"SAFE- CONTROLLED",INDEX('Pricing (Drugs) SS'!$G:$G,MATCH(F110,'Pricing (Drugs) SS'!$A:$A,0)))</f>
        <v>DRUG ROOM</v>
      </c>
      <c r="R110" s="195" t="str">
        <f>INDEX('Pricing (Drugs) SS'!$H:$H,MATCH(F110,'Pricing (Drugs) SS'!$A:$A,0))</f>
        <v>Not on List</v>
      </c>
      <c r="S110" s="124" t="str">
        <f>IF(COUNTIFS('Version and Lists'!$F:$F,F110,'Version and Lists'!$G:$G,$L$22)&gt;0,"X","")</f>
        <v/>
      </c>
    </row>
    <row r="111" spans="1:19" ht="18.75" x14ac:dyDescent="0.3">
      <c r="A111" s="185">
        <f>INDEX('McKesson Formulary Calculator'!$A$12:$A$434,MATCH(F111,'McKesson Formulary Calculator'!$F$12:$F$434,0))</f>
        <v>0</v>
      </c>
      <c r="B111" s="186" t="str">
        <f>INDEX('Pricing (Drugs) SS'!$B:$B,MATCH(F111,'Pricing (Drugs) SS'!$A:$A,0))</f>
        <v>LIDOCAINE HCI INJECTION, USP 2% (1000mg/50mL) (20mg/mL) 50 mL VIAL</v>
      </c>
      <c r="C111" s="187" t="str">
        <f>INDEX('Pricing (Drugs) SS'!$E:$E,MATCH(F111,'Pricing (Drugs) SS'!$A:$A,0))</f>
        <v>20 mg/mL</v>
      </c>
      <c r="D111" s="188" t="str">
        <f>INDEX('Pricing (Drugs) SS'!$F:$F,MATCH(F111,'Pricing (Drugs) SS'!$A:$A,0))</f>
        <v>50 mL</v>
      </c>
      <c r="E111" s="188" t="str">
        <f>INDEX('Pricing (Drugs) SS'!$D:$D,MATCH(F111,'Pricing (Drugs) SS'!$A:$A,0))</f>
        <v>0143-9575-10</v>
      </c>
      <c r="F111" s="189">
        <v>1012280</v>
      </c>
      <c r="G111" s="241">
        <f>INDEX('Pricing (Drugs) SS'!$I:$I,MATCH(F111,'Pricing (Drugs) SS'!$A:$A,0))</f>
        <v>1.9</v>
      </c>
      <c r="H111" s="241">
        <f t="shared" si="10"/>
        <v>0</v>
      </c>
      <c r="I111" s="191">
        <f>VLOOKUP(F111,'Price Sheet'!$A:$C,3,FALSE)</f>
        <v>16.95</v>
      </c>
      <c r="J111" s="191"/>
      <c r="K111" s="192">
        <f t="shared" si="13"/>
        <v>16.95</v>
      </c>
      <c r="L111" s="192">
        <f t="shared" si="8"/>
        <v>0</v>
      </c>
      <c r="M111" s="193" t="str">
        <f t="shared" si="11"/>
        <v/>
      </c>
      <c r="N111" s="194" t="str">
        <f t="shared" si="9"/>
        <v/>
      </c>
      <c r="O111" s="194" t="str">
        <f t="shared" si="12"/>
        <v/>
      </c>
      <c r="P111" s="124" t="str">
        <f>INDEX('Pricing (Drugs) SS'!$C:$C,MATCH(F111,'Pricing (Drugs) SS'!$A:$A,0))</f>
        <v>ACTIVE</v>
      </c>
      <c r="Q111" s="124" t="str">
        <f>IF(AND($K$23="Extra DEA Req",S111="X"),"SAFE- CONTROLLED",INDEX('Pricing (Drugs) SS'!$G:$G,MATCH(F111,'Pricing (Drugs) SS'!$A:$A,0)))</f>
        <v>DRUG ROOM</v>
      </c>
      <c r="R111" s="195" t="str">
        <f>INDEX('Pricing (Drugs) SS'!$H:$H,MATCH(F111,'Pricing (Drugs) SS'!$A:$A,0))</f>
        <v>Not on List</v>
      </c>
      <c r="S111" s="124" t="str">
        <f>IF(COUNTIFS('Version and Lists'!$F:$F,F111,'Version and Lists'!$G:$G,$L$22)&gt;0,"X","")</f>
        <v/>
      </c>
    </row>
    <row r="112" spans="1:19" ht="18.75" x14ac:dyDescent="0.3">
      <c r="A112" s="185">
        <f>INDEX('McKesson Formulary Calculator'!$A$12:$A$434,MATCH(F112,'McKesson Formulary Calculator'!$F$12:$F$434,0))</f>
        <v>0</v>
      </c>
      <c r="B112" s="186" t="str">
        <f>INDEX('Pricing (Drugs) SS'!$B:$B,MATCH(F112,'Pricing (Drugs) SS'!$A:$A,0))</f>
        <v>LIDOCAINE HCl INJECTION, USP 1% (50mg/5mL) (10mg/mL) 5 mL VIAL</v>
      </c>
      <c r="C112" s="187" t="str">
        <f>INDEX('Pricing (Drugs) SS'!$E:$E,MATCH(F112,'Pricing (Drugs) SS'!$A:$A,0))</f>
        <v>10mg/mL</v>
      </c>
      <c r="D112" s="188" t="str">
        <f>INDEX('Pricing (Drugs) SS'!$F:$F,MATCH(F112,'Pricing (Drugs) SS'!$A:$A,0))</f>
        <v>5mL</v>
      </c>
      <c r="E112" s="188" t="str">
        <f>INDEX('Pricing (Drugs) SS'!$D:$D,MATCH(F112,'Pricing (Drugs) SS'!$A:$A,0))</f>
        <v>0143-9595-25</v>
      </c>
      <c r="F112" s="189">
        <v>1012580</v>
      </c>
      <c r="G112" s="241">
        <f>INDEX('Pricing (Drugs) SS'!$I:$I,MATCH(F112,'Pricing (Drugs) SS'!$A:$A,0))</f>
        <v>0.8</v>
      </c>
      <c r="H112" s="241">
        <f t="shared" si="10"/>
        <v>0</v>
      </c>
      <c r="I112" s="191">
        <f>VLOOKUP(F112,'Price Sheet'!$A:$C,3,FALSE)</f>
        <v>5.99</v>
      </c>
      <c r="J112" s="191"/>
      <c r="K112" s="192">
        <f t="shared" si="13"/>
        <v>5.99</v>
      </c>
      <c r="L112" s="192">
        <f t="shared" si="8"/>
        <v>0</v>
      </c>
      <c r="M112" s="193" t="str">
        <f t="shared" si="11"/>
        <v/>
      </c>
      <c r="N112" s="194" t="str">
        <f t="shared" si="9"/>
        <v/>
      </c>
      <c r="O112" s="194" t="str">
        <f t="shared" si="12"/>
        <v/>
      </c>
      <c r="P112" s="124" t="str">
        <f>INDEX('Pricing (Drugs) SS'!$C:$C,MATCH(F112,'Pricing (Drugs) SS'!$A:$A,0))</f>
        <v>ACTIVE</v>
      </c>
      <c r="Q112" s="124" t="str">
        <f>IF(AND($K$23="Extra DEA Req",S112="X"),"SAFE- CONTROLLED",INDEX('Pricing (Drugs) SS'!$G:$G,MATCH(F112,'Pricing (Drugs) SS'!$A:$A,0)))</f>
        <v>DRUG ROOM</v>
      </c>
      <c r="R112" s="195" t="str">
        <f>INDEX('Pricing (Drugs) SS'!$H:$H,MATCH(F112,'Pricing (Drugs) SS'!$A:$A,0))</f>
        <v>Not on List</v>
      </c>
      <c r="S112" s="124" t="str">
        <f>IF(COUNTIFS('Version and Lists'!$F:$F,F112,'Version and Lists'!$G:$G,$L$22)&gt;0,"X","")</f>
        <v/>
      </c>
    </row>
    <row r="113" spans="1:19" ht="18.75" x14ac:dyDescent="0.3">
      <c r="A113" s="185">
        <f>INDEX('McKesson Formulary Calculator'!$A$12:$A$434,MATCH(F113,'McKesson Formulary Calculator'!$F$12:$F$434,0))</f>
        <v>0</v>
      </c>
      <c r="B113" s="186" t="str">
        <f>INDEX('Pricing (Drugs) SS'!$B:$B,MATCH(F113,'Pricing (Drugs) SS'!$A:$A,0))</f>
        <v>LIDOCAINE HCI INJECTION, USP 2% (100 mg/5 mL) (20 mg/mL) 5mL VIAL</v>
      </c>
      <c r="C113" s="187" t="str">
        <f>INDEX('Pricing (Drugs) SS'!$E:$E,MATCH(F113,'Pricing (Drugs) SS'!$A:$A,0))</f>
        <v>20mg/mL</v>
      </c>
      <c r="D113" s="188" t="str">
        <f>INDEX('Pricing (Drugs) SS'!$F:$F,MATCH(F113,'Pricing (Drugs) SS'!$A:$A,0))</f>
        <v>5mL</v>
      </c>
      <c r="E113" s="188" t="str">
        <f>INDEX('Pricing (Drugs) SS'!$D:$D,MATCH(F113,'Pricing (Drugs) SS'!$A:$A,0))</f>
        <v>0143-9594-25</v>
      </c>
      <c r="F113" s="189">
        <v>1012350</v>
      </c>
      <c r="G113" s="241">
        <f>INDEX('Pricing (Drugs) SS'!$I:$I,MATCH(F113,'Pricing (Drugs) SS'!$A:$A,0))</f>
        <v>1.528</v>
      </c>
      <c r="H113" s="241">
        <f t="shared" si="10"/>
        <v>0</v>
      </c>
      <c r="I113" s="191">
        <f>VLOOKUP(F113,'Price Sheet'!$A:$C,3,FALSE)</f>
        <v>11.65</v>
      </c>
      <c r="J113" s="191"/>
      <c r="K113" s="192">
        <f t="shared" si="13"/>
        <v>11.65</v>
      </c>
      <c r="L113" s="192">
        <f t="shared" si="8"/>
        <v>0</v>
      </c>
      <c r="M113" s="193" t="str">
        <f t="shared" si="11"/>
        <v/>
      </c>
      <c r="N113" s="194" t="str">
        <f t="shared" si="9"/>
        <v/>
      </c>
      <c r="O113" s="194" t="str">
        <f t="shared" si="12"/>
        <v/>
      </c>
      <c r="P113" s="124" t="str">
        <f>INDEX('Pricing (Drugs) SS'!$C:$C,MATCH(F113,'Pricing (Drugs) SS'!$A:$A,0))</f>
        <v>ACTIVE</v>
      </c>
      <c r="Q113" s="124" t="str">
        <f>IF(AND($K$23="Extra DEA Req",S113="X"),"SAFE- CONTROLLED",INDEX('Pricing (Drugs) SS'!$G:$G,MATCH(F113,'Pricing (Drugs) SS'!$A:$A,0)))</f>
        <v>DRUG ROOM</v>
      </c>
      <c r="R113" s="195" t="str">
        <f>INDEX('Pricing (Drugs) SS'!$H:$H,MATCH(F113,'Pricing (Drugs) SS'!$A:$A,0))</f>
        <v>Not on List</v>
      </c>
      <c r="S113" s="124" t="str">
        <f>IF(COUNTIFS('Version and Lists'!$F:$F,F113,'Version and Lists'!$G:$G,$L$22)&gt;0,"X","")</f>
        <v/>
      </c>
    </row>
    <row r="114" spans="1:19" ht="18.75" x14ac:dyDescent="0.3">
      <c r="A114" s="185">
        <f>INDEX('McKesson Formulary Calculator'!$A$12:$A$434,MATCH(F114,'McKesson Formulary Calculator'!$F$12:$F$434,0))</f>
        <v>0</v>
      </c>
      <c r="B114" s="186" t="str">
        <f>INDEX('Pricing (Drugs) SS'!$B:$B,MATCH(F114,'Pricing (Drugs) SS'!$A:$A,0))</f>
        <v>XYLOCAINE® (LIDOCAINE HCl &amp; EPI INJ, USP) W/ EPI 1:100,000 1% 200mg/20mL (10mg/mL) 20mL VIAL</v>
      </c>
      <c r="C114" s="187" t="str">
        <f>INDEX('Pricing (Drugs) SS'!$E:$E,MATCH(F114,'Pricing (Drugs) SS'!$A:$A,0))</f>
        <v>10mg/mL</v>
      </c>
      <c r="D114" s="188" t="str">
        <f>INDEX('Pricing (Drugs) SS'!$F:$F,MATCH(F114,'Pricing (Drugs) SS'!$A:$A,0))</f>
        <v>20mL</v>
      </c>
      <c r="E114" s="188" t="str">
        <f>INDEX('Pricing (Drugs) SS'!$D:$D,MATCH(F114,'Pricing (Drugs) SS'!$A:$A,0))</f>
        <v>63323-482-27</v>
      </c>
      <c r="F114" s="189">
        <v>1019980</v>
      </c>
      <c r="G114" s="241">
        <f>INDEX('Pricing (Drugs) SS'!$I:$I,MATCH(F114,'Pricing (Drugs) SS'!$A:$A,0))</f>
        <v>5.6</v>
      </c>
      <c r="H114" s="241">
        <f t="shared" si="10"/>
        <v>0</v>
      </c>
      <c r="I114" s="191">
        <f>VLOOKUP(F114,'Price Sheet'!$A:$C,3,FALSE)</f>
        <v>17.95</v>
      </c>
      <c r="J114" s="191"/>
      <c r="K114" s="192">
        <f t="shared" si="13"/>
        <v>17.95</v>
      </c>
      <c r="L114" s="192">
        <f t="shared" si="8"/>
        <v>0</v>
      </c>
      <c r="M114" s="193" t="str">
        <f t="shared" si="11"/>
        <v/>
      </c>
      <c r="N114" s="194" t="str">
        <f t="shared" si="9"/>
        <v/>
      </c>
      <c r="O114" s="194" t="str">
        <f t="shared" si="12"/>
        <v/>
      </c>
      <c r="P114" s="124" t="str">
        <f>INDEX('Pricing (Drugs) SS'!$C:$C,MATCH(F114,'Pricing (Drugs) SS'!$A:$A,0))</f>
        <v>ACTIVE</v>
      </c>
      <c r="Q114" s="124" t="str">
        <f>IF(AND($K$23="Extra DEA Req",S114="X"),"SAFE- CONTROLLED",INDEX('Pricing (Drugs) SS'!$G:$G,MATCH(F114,'Pricing (Drugs) SS'!$A:$A,0)))</f>
        <v>DRUG ROOM</v>
      </c>
      <c r="R114" s="195" t="str">
        <f>INDEX('Pricing (Drugs) SS'!$H:$H,MATCH(F114,'Pricing (Drugs) SS'!$A:$A,0))</f>
        <v>Not on List</v>
      </c>
      <c r="S114" s="124" t="str">
        <f>IF(COUNTIFS('Version and Lists'!$F:$F,F114,'Version and Lists'!$G:$G,$L$22)&gt;0,"X","")</f>
        <v/>
      </c>
    </row>
    <row r="115" spans="1:19" ht="18.75" x14ac:dyDescent="0.3">
      <c r="A115" s="185">
        <f>INDEX('McKesson Formulary Calculator'!$A$12:$A$434,MATCH(F115,'McKesson Formulary Calculator'!$F$12:$F$434,0))</f>
        <v>0</v>
      </c>
      <c r="B115" s="186" t="str">
        <f>INDEX('Pricing (Drugs) SS'!$B:$B,MATCH(F115,'Pricing (Drugs) SS'!$A:$A,0))</f>
        <v>XYLOCAINE(R) (LIDOCAINE HCI AND EPINEPHRINE INJECTION, USP) WITH EPINEPHRINE 1:100,000 2% 400mg PER 20mL (20mg PER mL) 20mL VIAL</v>
      </c>
      <c r="C115" s="187" t="str">
        <f>INDEX('Pricing (Drugs) SS'!$E:$E,MATCH(F115,'Pricing (Drugs) SS'!$A:$A,0))</f>
        <v>2% &amp;1:100,000</v>
      </c>
      <c r="D115" s="188" t="str">
        <f>INDEX('Pricing (Drugs) SS'!$F:$F,MATCH(F115,'Pricing (Drugs) SS'!$A:$A,0))</f>
        <v>20mL</v>
      </c>
      <c r="E115" s="188" t="str">
        <f>INDEX('Pricing (Drugs) SS'!$D:$D,MATCH(F115,'Pricing (Drugs) SS'!$A:$A,0))</f>
        <v>63323-483-27</v>
      </c>
      <c r="F115" s="189">
        <v>1013700</v>
      </c>
      <c r="G115" s="241">
        <f>INDEX('Pricing (Drugs) SS'!$I:$I,MATCH(F115,'Pricing (Drugs) SS'!$A:$A,0))</f>
        <v>5.68</v>
      </c>
      <c r="H115" s="241">
        <f t="shared" si="10"/>
        <v>0</v>
      </c>
      <c r="I115" s="191">
        <f>VLOOKUP(F115,'Price Sheet'!$A:$C,3,FALSE)</f>
        <v>17.989999999999998</v>
      </c>
      <c r="J115" s="191"/>
      <c r="K115" s="192">
        <f t="shared" si="13"/>
        <v>17.989999999999998</v>
      </c>
      <c r="L115" s="192">
        <f t="shared" si="8"/>
        <v>0</v>
      </c>
      <c r="M115" s="193" t="str">
        <f t="shared" si="11"/>
        <v/>
      </c>
      <c r="N115" s="194" t="str">
        <f t="shared" si="9"/>
        <v/>
      </c>
      <c r="O115" s="194" t="str">
        <f t="shared" si="12"/>
        <v/>
      </c>
      <c r="P115" s="124" t="str">
        <f>INDEX('Pricing (Drugs) SS'!$C:$C,MATCH(F115,'Pricing (Drugs) SS'!$A:$A,0))</f>
        <v>ACTIVE</v>
      </c>
      <c r="Q115" s="124" t="str">
        <f>IF(AND($K$23="Extra DEA Req",S115="X"),"SAFE- CONTROLLED",INDEX('Pricing (Drugs) SS'!$G:$G,MATCH(F115,'Pricing (Drugs) SS'!$A:$A,0)))</f>
        <v>DRUG ROOM</v>
      </c>
      <c r="R115" s="195" t="str">
        <f>INDEX('Pricing (Drugs) SS'!$H:$H,MATCH(F115,'Pricing (Drugs) SS'!$A:$A,0))</f>
        <v>Not on List</v>
      </c>
      <c r="S115" s="124" t="str">
        <f>IF(COUNTIFS('Version and Lists'!$F:$F,F115,'Version and Lists'!$G:$G,$L$22)&gt;0,"X","")</f>
        <v/>
      </c>
    </row>
    <row r="116" spans="1:19" ht="18.75" x14ac:dyDescent="0.3">
      <c r="A116" s="185">
        <f>INDEX('McKesson Formulary Calculator'!$A$12:$A$434,MATCH(F116,'McKesson Formulary Calculator'!$F$12:$F$434,0))</f>
        <v>0</v>
      </c>
      <c r="B116" s="186" t="str">
        <f>INDEX('Pricing (Drugs) SS'!$B:$B,MATCH(F116,'Pricing (Drugs) SS'!$A:$A,0))</f>
        <v>LIDOCAINE HCI INJ., USP, 2% 100 mg per 5 mL 100 mg LUER-JET™ SYR</v>
      </c>
      <c r="C116" s="187" t="str">
        <f>INDEX('Pricing (Drugs) SS'!$E:$E,MATCH(F116,'Pricing (Drugs) SS'!$A:$A,0))</f>
        <v>20 mg/1 mL</v>
      </c>
      <c r="D116" s="188" t="str">
        <f>INDEX('Pricing (Drugs) SS'!$F:$F,MATCH(F116,'Pricing (Drugs) SS'!$A:$A,0))</f>
        <v>5 mL</v>
      </c>
      <c r="E116" s="188" t="str">
        <f>INDEX('Pricing (Drugs) SS'!$D:$D,MATCH(F116,'Pricing (Drugs) SS'!$A:$A,0))</f>
        <v>76329-3390-1</v>
      </c>
      <c r="F116" s="189">
        <v>1012400</v>
      </c>
      <c r="G116" s="241">
        <f>INDEX('Pricing (Drugs) SS'!$I:$I,MATCH(F116,'Pricing (Drugs) SS'!$A:$A,0))</f>
        <v>9.85</v>
      </c>
      <c r="H116" s="241">
        <f t="shared" si="10"/>
        <v>0</v>
      </c>
      <c r="I116" s="191">
        <f>VLOOKUP(F116,'Price Sheet'!$A:$C,3,FALSE)</f>
        <v>42.95</v>
      </c>
      <c r="J116" s="191"/>
      <c r="K116" s="192">
        <f t="shared" si="13"/>
        <v>42.95</v>
      </c>
      <c r="L116" s="192">
        <f t="shared" si="8"/>
        <v>0</v>
      </c>
      <c r="M116" s="193" t="str">
        <f t="shared" si="11"/>
        <v/>
      </c>
      <c r="N116" s="194" t="str">
        <f t="shared" si="9"/>
        <v/>
      </c>
      <c r="O116" s="194" t="str">
        <f t="shared" si="12"/>
        <v/>
      </c>
      <c r="P116" s="124" t="str">
        <f>INDEX('Pricing (Drugs) SS'!$C:$C,MATCH(F116,'Pricing (Drugs) SS'!$A:$A,0))</f>
        <v>ACTIVE</v>
      </c>
      <c r="Q116" s="124" t="str">
        <f>IF(AND($K$23="Extra DEA Req",S116="X"),"SAFE- CONTROLLED",INDEX('Pricing (Drugs) SS'!$G:$G,MATCH(F116,'Pricing (Drugs) SS'!$A:$A,0)))</f>
        <v>DRUG ROOM</v>
      </c>
      <c r="R116" s="195" t="str">
        <f>INDEX('Pricing (Drugs) SS'!$H:$H,MATCH(F116,'Pricing (Drugs) SS'!$A:$A,0))</f>
        <v>Not on List</v>
      </c>
      <c r="S116" s="124" t="str">
        <f>IF(COUNTIFS('Version and Lists'!$F:$F,F116,'Version and Lists'!$G:$G,$L$22)&gt;0,"X","")</f>
        <v/>
      </c>
    </row>
    <row r="117" spans="1:19" ht="18.75" x14ac:dyDescent="0.3">
      <c r="A117" s="185">
        <f>INDEX('McKesson Formulary Calculator'!$A$12:$A$434,MATCH(F117,'McKesson Formulary Calculator'!$F$12:$F$434,0))</f>
        <v>0</v>
      </c>
      <c r="B117" s="186" t="str">
        <f>INDEX('Pricing (Drugs) SS'!$B:$B,MATCH(F117,'Pricing (Drugs) SS'!$A:$A,0))</f>
        <v>LIDOCAINE HCI JELLY, USP, 2%, 100mg URO-JET</v>
      </c>
      <c r="C117" s="187" t="str">
        <f>INDEX('Pricing (Drugs) SS'!$E:$E,MATCH(F117,'Pricing (Drugs) SS'!$A:$A,0))</f>
        <v>20mg/mL</v>
      </c>
      <c r="D117" s="188" t="str">
        <f>INDEX('Pricing (Drugs) SS'!$F:$F,MATCH(F117,'Pricing (Drugs) SS'!$A:$A,0))</f>
        <v>5mL</v>
      </c>
      <c r="E117" s="188" t="str">
        <f>INDEX('Pricing (Drugs) SS'!$D:$D,MATCH(F117,'Pricing (Drugs) SS'!$A:$A,0))</f>
        <v>76329-3012-5</v>
      </c>
      <c r="F117" s="189">
        <v>1012160</v>
      </c>
      <c r="G117" s="241">
        <f>INDEX('Pricing (Drugs) SS'!$I:$I,MATCH(F117,'Pricing (Drugs) SS'!$A:$A,0))</f>
        <v>6.32</v>
      </c>
      <c r="H117" s="241">
        <f t="shared" si="10"/>
        <v>0</v>
      </c>
      <c r="I117" s="191">
        <f>VLOOKUP(F117,'Price Sheet'!$A:$C,3,FALSE)</f>
        <v>79.95</v>
      </c>
      <c r="J117" s="191"/>
      <c r="K117" s="192">
        <f t="shared" si="13"/>
        <v>79.95</v>
      </c>
      <c r="L117" s="192">
        <f t="shared" si="8"/>
        <v>0</v>
      </c>
      <c r="M117" s="193" t="str">
        <f t="shared" si="11"/>
        <v/>
      </c>
      <c r="N117" s="194" t="str">
        <f t="shared" si="9"/>
        <v/>
      </c>
      <c r="O117" s="194" t="str">
        <f t="shared" si="12"/>
        <v/>
      </c>
      <c r="P117" s="124" t="str">
        <f>INDEX('Pricing (Drugs) SS'!$C:$C,MATCH(F117,'Pricing (Drugs) SS'!$A:$A,0))</f>
        <v>ACTIVE</v>
      </c>
      <c r="Q117" s="124" t="str">
        <f>IF(AND($K$23="Extra DEA Req",S117="X"),"SAFE- CONTROLLED",INDEX('Pricing (Drugs) SS'!$G:$G,MATCH(F117,'Pricing (Drugs) SS'!$A:$A,0)))</f>
        <v>DRUG ROOM</v>
      </c>
      <c r="R117" s="195" t="str">
        <f>INDEX('Pricing (Drugs) SS'!$H:$H,MATCH(F117,'Pricing (Drugs) SS'!$A:$A,0))</f>
        <v>Not on List</v>
      </c>
      <c r="S117" s="124" t="str">
        <f>IF(COUNTIFS('Version and Lists'!$F:$F,F117,'Version and Lists'!$G:$G,$L$22)&gt;0,"X","")</f>
        <v/>
      </c>
    </row>
    <row r="118" spans="1:19" ht="18.75" x14ac:dyDescent="0.3">
      <c r="A118" s="185">
        <f>INDEX('McKesson Formulary Calculator'!$A$12:$A$434,MATCH(F118,'McKesson Formulary Calculator'!$F$12:$F$434,0))</f>
        <v>0</v>
      </c>
      <c r="B118" s="186" t="str">
        <f>INDEX('Pricing (Drugs) SS'!$B:$B,MATCH(F118,'Pricing (Drugs) SS'!$A:$A,0))</f>
        <v>LIDOCAINE HCI AND 5% DEXTROSE INJECTION USP 2g (4mg/mL) 500mL BAG</v>
      </c>
      <c r="C118" s="187" t="str">
        <f>INDEX('Pricing (Drugs) SS'!$E:$E,MATCH(F118,'Pricing (Drugs) SS'!$A:$A,0))</f>
        <v>2g (4mg/mL)</v>
      </c>
      <c r="D118" s="188" t="str">
        <f>INDEX('Pricing (Drugs) SS'!$F:$F,MATCH(F118,'Pricing (Drugs) SS'!$A:$A,0))</f>
        <v>500mL</v>
      </c>
      <c r="E118" s="188" t="str">
        <f>INDEX('Pricing (Drugs) SS'!$D:$D,MATCH(F118,'Pricing (Drugs) SS'!$A:$A,0))</f>
        <v>0338-0409-03</v>
      </c>
      <c r="F118" s="189">
        <v>1008590</v>
      </c>
      <c r="G118" s="241">
        <f>INDEX('Pricing (Drugs) SS'!$I:$I,MATCH(F118,'Pricing (Drugs) SS'!$A:$A,0))</f>
        <v>7.2061111111111096</v>
      </c>
      <c r="H118" s="241">
        <f t="shared" si="10"/>
        <v>0</v>
      </c>
      <c r="I118" s="191">
        <f>VLOOKUP(F118,'Price Sheet'!$A:$C,3,FALSE)</f>
        <v>24.72</v>
      </c>
      <c r="J118" s="191"/>
      <c r="K118" s="192">
        <f t="shared" si="13"/>
        <v>24.72</v>
      </c>
      <c r="L118" s="192">
        <f t="shared" si="8"/>
        <v>0</v>
      </c>
      <c r="M118" s="193" t="str">
        <f t="shared" si="11"/>
        <v/>
      </c>
      <c r="N118" s="194" t="str">
        <f t="shared" si="9"/>
        <v/>
      </c>
      <c r="O118" s="194" t="str">
        <f t="shared" si="12"/>
        <v/>
      </c>
      <c r="P118" s="124" t="str">
        <f>INDEX('Pricing (Drugs) SS'!$C:$C,MATCH(F118,'Pricing (Drugs) SS'!$A:$A,0))</f>
        <v>ACTIVE</v>
      </c>
      <c r="Q118" s="124" t="str">
        <f>IF(AND($K$23="Extra DEA Req",S118="X"),"SAFE- CONTROLLED",INDEX('Pricing (Drugs) SS'!$G:$G,MATCH(F118,'Pricing (Drugs) SS'!$A:$A,0)))</f>
        <v>DRUG ROOM</v>
      </c>
      <c r="R118" s="195" t="str">
        <f>INDEX('Pricing (Drugs) SS'!$H:$H,MATCH(F118,'Pricing (Drugs) SS'!$A:$A,0))</f>
        <v>Not on List</v>
      </c>
      <c r="S118" s="124" t="str">
        <f>IF(COUNTIFS('Version and Lists'!$F:$F,F118,'Version and Lists'!$G:$G,$L$22)&gt;0,"X","")</f>
        <v/>
      </c>
    </row>
    <row r="119" spans="1:19" ht="18.75" x14ac:dyDescent="0.3">
      <c r="A119" s="185">
        <f>INDEX('McKesson Formulary Calculator'!$A$12:$A$434,MATCH(F119,'McKesson Formulary Calculator'!$F$12:$F$434,0))</f>
        <v>0</v>
      </c>
      <c r="B119" s="186" t="str">
        <f>INDEX('Pricing (Drugs) SS'!$B:$B,MATCH(F119,'Pricing (Drugs) SS'!$A:$A,0))</f>
        <v>MAGNESIUM SULFATE INJECTION, USP 50% 1gram per 2mL (500mg per mL) 2mL VIAL</v>
      </c>
      <c r="C119" s="187" t="str">
        <f>INDEX('Pricing (Drugs) SS'!$E:$E,MATCH(F119,'Pricing (Drugs) SS'!$A:$A,0))</f>
        <v>500mg/mL</v>
      </c>
      <c r="D119" s="188" t="str">
        <f>INDEX('Pricing (Drugs) SS'!$F:$F,MATCH(F119,'Pricing (Drugs) SS'!$A:$A,0))</f>
        <v>2mL</v>
      </c>
      <c r="E119" s="188" t="str">
        <f>INDEX('Pricing (Drugs) SS'!$D:$D,MATCH(F119,'Pricing (Drugs) SS'!$A:$A,0))</f>
        <v>63323-064-03</v>
      </c>
      <c r="F119" s="189">
        <v>1011950</v>
      </c>
      <c r="G119" s="241">
        <f>INDEX('Pricing (Drugs) SS'!$I:$I,MATCH(F119,'Pricing (Drugs) SS'!$A:$A,0))</f>
        <v>2.58</v>
      </c>
      <c r="H119" s="241">
        <f t="shared" si="10"/>
        <v>0</v>
      </c>
      <c r="I119" s="191">
        <f>VLOOKUP(F119,'Price Sheet'!$A:$C,3,FALSE)</f>
        <v>8.99</v>
      </c>
      <c r="J119" s="191"/>
      <c r="K119" s="192">
        <f t="shared" si="13"/>
        <v>8.99</v>
      </c>
      <c r="L119" s="192">
        <f t="shared" si="8"/>
        <v>0</v>
      </c>
      <c r="M119" s="193" t="str">
        <f t="shared" si="11"/>
        <v/>
      </c>
      <c r="N119" s="194" t="str">
        <f t="shared" si="9"/>
        <v/>
      </c>
      <c r="O119" s="194" t="str">
        <f t="shared" si="12"/>
        <v/>
      </c>
      <c r="P119" s="124" t="str">
        <f>INDEX('Pricing (Drugs) SS'!$C:$C,MATCH(F119,'Pricing (Drugs) SS'!$A:$A,0))</f>
        <v>ACTIVE</v>
      </c>
      <c r="Q119" s="124" t="str">
        <f>IF(AND($K$23="Extra DEA Req",S119="X"),"SAFE- CONTROLLED",INDEX('Pricing (Drugs) SS'!$G:$G,MATCH(F119,'Pricing (Drugs) SS'!$A:$A,0)))</f>
        <v>DRUG ROOM</v>
      </c>
      <c r="R119" s="195" t="str">
        <f>INDEX('Pricing (Drugs) SS'!$H:$H,MATCH(F119,'Pricing (Drugs) SS'!$A:$A,0))</f>
        <v>Not on List</v>
      </c>
      <c r="S119" s="124" t="str">
        <f>IF(COUNTIFS('Version and Lists'!$F:$F,F119,'Version and Lists'!$G:$G,$L$22)&gt;0,"X","")</f>
        <v/>
      </c>
    </row>
    <row r="120" spans="1:19" ht="18.75" x14ac:dyDescent="0.3">
      <c r="A120" s="185">
        <f>INDEX('McKesson Formulary Calculator'!$A$12:$A$434,MATCH(F120,'McKesson Formulary Calculator'!$F$12:$F$434,0))</f>
        <v>0</v>
      </c>
      <c r="B120" s="186" t="str">
        <f>INDEX('Pricing (Drugs) SS'!$B:$B,MATCH(F120,'Pricing (Drugs) SS'!$A:$A,0))</f>
        <v>MAGNESIUM SULFATE INJECTION, USP 50% 5 grams per 10mL (500 mg per mL) 10mL VIAL</v>
      </c>
      <c r="C120" s="187" t="str">
        <f>INDEX('Pricing (Drugs) SS'!$E:$E,MATCH(F120,'Pricing (Drugs) SS'!$A:$A,0))</f>
        <v>500 mg per mL</v>
      </c>
      <c r="D120" s="188" t="str">
        <f>INDEX('Pricing (Drugs) SS'!$F:$F,MATCH(F120,'Pricing (Drugs) SS'!$A:$A,0))</f>
        <v>10mL</v>
      </c>
      <c r="E120" s="188" t="str">
        <f>INDEX('Pricing (Drugs) SS'!$D:$D,MATCH(F120,'Pricing (Drugs) SS'!$A:$A,0))</f>
        <v>63323-064-11</v>
      </c>
      <c r="F120" s="189">
        <v>1012710</v>
      </c>
      <c r="G120" s="241">
        <f>INDEX('Pricing (Drugs) SS'!$I:$I,MATCH(F120,'Pricing (Drugs) SS'!$A:$A,0))</f>
        <v>3.21</v>
      </c>
      <c r="H120" s="241">
        <f t="shared" si="10"/>
        <v>0</v>
      </c>
      <c r="I120" s="191">
        <f>VLOOKUP(F120,'Price Sheet'!$A:$C,3,FALSE)</f>
        <v>25.99</v>
      </c>
      <c r="J120" s="191"/>
      <c r="K120" s="192">
        <f t="shared" si="13"/>
        <v>25.99</v>
      </c>
      <c r="L120" s="192">
        <f t="shared" si="8"/>
        <v>0</v>
      </c>
      <c r="M120" s="193" t="str">
        <f t="shared" si="11"/>
        <v/>
      </c>
      <c r="N120" s="194" t="str">
        <f t="shared" si="9"/>
        <v/>
      </c>
      <c r="O120" s="194" t="str">
        <f t="shared" si="12"/>
        <v/>
      </c>
      <c r="P120" s="124" t="str">
        <f>INDEX('Pricing (Drugs) SS'!$C:$C,MATCH(F120,'Pricing (Drugs) SS'!$A:$A,0))</f>
        <v>ACTIVE</v>
      </c>
      <c r="Q120" s="124" t="str">
        <f>IF(AND($K$23="Extra DEA Req",S120="X"),"SAFE- CONTROLLED",INDEX('Pricing (Drugs) SS'!$G:$G,MATCH(F120,'Pricing (Drugs) SS'!$A:$A,0)))</f>
        <v>DRUG ROOM</v>
      </c>
      <c r="R120" s="195" t="str">
        <f>INDEX('Pricing (Drugs) SS'!$H:$H,MATCH(F120,'Pricing (Drugs) SS'!$A:$A,0))</f>
        <v>Not on List</v>
      </c>
      <c r="S120" s="124" t="str">
        <f>IF(COUNTIFS('Version and Lists'!$F:$F,F120,'Version and Lists'!$G:$G,$L$22)&gt;0,"X","")</f>
        <v/>
      </c>
    </row>
    <row r="121" spans="1:19" ht="18.75" x14ac:dyDescent="0.3">
      <c r="A121" s="185">
        <f>INDEX('McKesson Formulary Calculator'!$A$12:$A$434,MATCH(F121,'McKesson Formulary Calculator'!$F$12:$F$434,0))</f>
        <v>0</v>
      </c>
      <c r="B121" s="186" t="str">
        <f>INDEX('Pricing (Drugs) SS'!$B:$B,MATCH(F121,'Pricing (Drugs) SS'!$A:$A,0))</f>
        <v>MAGNESIUM SULFATE IN WATER FOR INJECTION (0.325 mEq Mg"/mL) 40mg/mL 2g TOTAL 50mL BAG</v>
      </c>
      <c r="C121" s="187" t="str">
        <f>INDEX('Pricing (Drugs) SS'!$E:$E,MATCH(F121,'Pricing (Drugs) SS'!$A:$A,0))</f>
        <v>40mg/mL</v>
      </c>
      <c r="D121" s="188" t="str">
        <f>INDEX('Pricing (Drugs) SS'!$F:$F,MATCH(F121,'Pricing (Drugs) SS'!$A:$A,0))</f>
        <v>50mL</v>
      </c>
      <c r="E121" s="188" t="str">
        <f>INDEX('Pricing (Drugs) SS'!$D:$D,MATCH(F121,'Pricing (Drugs) SS'!$A:$A,0))</f>
        <v>0409-6729-24</v>
      </c>
      <c r="F121" s="189">
        <v>1010230</v>
      </c>
      <c r="G121" s="241">
        <f>INDEX('Pricing (Drugs) SS'!$I:$I,MATCH(F121,'Pricing (Drugs) SS'!$A:$A,0))</f>
        <v>14.36125</v>
      </c>
      <c r="H121" s="241">
        <f t="shared" si="10"/>
        <v>0</v>
      </c>
      <c r="I121" s="191">
        <f>VLOOKUP(F121,'Price Sheet'!$A:$C,3,FALSE)</f>
        <v>38.5</v>
      </c>
      <c r="J121" s="191"/>
      <c r="K121" s="192">
        <f t="shared" si="13"/>
        <v>38.5</v>
      </c>
      <c r="L121" s="192">
        <f t="shared" si="8"/>
        <v>0</v>
      </c>
      <c r="M121" s="193" t="str">
        <f t="shared" si="11"/>
        <v/>
      </c>
      <c r="N121" s="194" t="str">
        <f t="shared" si="9"/>
        <v/>
      </c>
      <c r="O121" s="194" t="str">
        <f t="shared" si="12"/>
        <v/>
      </c>
      <c r="P121" s="124" t="str">
        <f>INDEX('Pricing (Drugs) SS'!$C:$C,MATCH(F121,'Pricing (Drugs) SS'!$A:$A,0))</f>
        <v>ACTIVE</v>
      </c>
      <c r="Q121" s="124" t="str">
        <f>IF(AND($K$23="Extra DEA Req",S121="X"),"SAFE- CONTROLLED",INDEX('Pricing (Drugs) SS'!$G:$G,MATCH(F121,'Pricing (Drugs) SS'!$A:$A,0)))</f>
        <v>DRUG ROOM</v>
      </c>
      <c r="R121" s="195" t="str">
        <f>INDEX('Pricing (Drugs) SS'!$H:$H,MATCH(F121,'Pricing (Drugs) SS'!$A:$A,0))</f>
        <v>Not on List</v>
      </c>
      <c r="S121" s="124" t="str">
        <f>IF(COUNTIFS('Version and Lists'!$F:$F,F121,'Version and Lists'!$G:$G,$L$22)&gt;0,"X","")</f>
        <v/>
      </c>
    </row>
    <row r="122" spans="1:19" ht="18.75" x14ac:dyDescent="0.3">
      <c r="A122" s="185">
        <f>INDEX('McKesson Formulary Calculator'!$A$12:$A$434,MATCH(F122,'McKesson Formulary Calculator'!$F$12:$F$434,0))</f>
        <v>0</v>
      </c>
      <c r="B122" s="186" t="str">
        <f>INDEX('Pricing (Drugs) SS'!$B:$B,MATCH(F122,'Pricing (Drugs) SS'!$A:$A,0))</f>
        <v>50% MAGNESIUM SULFATE INJECTION, USP 5grams/10mL ANSYR SYR</v>
      </c>
      <c r="C122" s="187" t="str">
        <f>INDEX('Pricing (Drugs) SS'!$E:$E,MATCH(F122,'Pricing (Drugs) SS'!$A:$A,0))</f>
        <v>5grams/10mL</v>
      </c>
      <c r="D122" s="188" t="str">
        <f>INDEX('Pricing (Drugs) SS'!$F:$F,MATCH(F122,'Pricing (Drugs) SS'!$A:$A,0))</f>
        <v>10mL</v>
      </c>
      <c r="E122" s="188" t="str">
        <f>INDEX('Pricing (Drugs) SS'!$D:$D,MATCH(F122,'Pricing (Drugs) SS'!$A:$A,0))</f>
        <v>0409-1754-10</v>
      </c>
      <c r="F122" s="189">
        <v>1000390</v>
      </c>
      <c r="G122" s="241">
        <f>INDEX('Pricing (Drugs) SS'!$I:$I,MATCH(F122,'Pricing (Drugs) SS'!$A:$A,0))</f>
        <v>40.377000000000002</v>
      </c>
      <c r="H122" s="241">
        <f t="shared" si="10"/>
        <v>0</v>
      </c>
      <c r="I122" s="191">
        <f>VLOOKUP(F122,'Price Sheet'!$A:$C,3,FALSE)</f>
        <v>101.94</v>
      </c>
      <c r="J122" s="191"/>
      <c r="K122" s="192">
        <f t="shared" si="13"/>
        <v>101.94</v>
      </c>
      <c r="L122" s="192">
        <f t="shared" si="8"/>
        <v>0</v>
      </c>
      <c r="M122" s="193" t="str">
        <f t="shared" si="11"/>
        <v/>
      </c>
      <c r="N122" s="194" t="str">
        <f t="shared" si="9"/>
        <v/>
      </c>
      <c r="O122" s="194" t="str">
        <f t="shared" si="12"/>
        <v/>
      </c>
      <c r="P122" s="124" t="str">
        <f>INDEX('Pricing (Drugs) SS'!$C:$C,MATCH(F122,'Pricing (Drugs) SS'!$A:$A,0))</f>
        <v>ACTIVE</v>
      </c>
      <c r="Q122" s="124" t="str">
        <f>IF(AND($K$23="Extra DEA Req",S122="X"),"SAFE- CONTROLLED",INDEX('Pricing (Drugs) SS'!$G:$G,MATCH(F122,'Pricing (Drugs) SS'!$A:$A,0)))</f>
        <v>DRUG ROOM</v>
      </c>
      <c r="R122" s="195" t="str">
        <f>INDEX('Pricing (Drugs) SS'!$H:$H,MATCH(F122,'Pricing (Drugs) SS'!$A:$A,0))</f>
        <v>Not on List</v>
      </c>
      <c r="S122" s="124" t="str">
        <f>IF(COUNTIFS('Version and Lists'!$F:$F,F122,'Version and Lists'!$G:$G,$L$22)&gt;0,"X","")</f>
        <v/>
      </c>
    </row>
    <row r="123" spans="1:19" ht="18.75" x14ac:dyDescent="0.3">
      <c r="A123" s="185">
        <f>INDEX('McKesson Formulary Calculator'!$A$12:$A$434,MATCH(F123,'McKesson Formulary Calculator'!$F$12:$F$434,0))</f>
        <v>0</v>
      </c>
      <c r="B123" s="186" t="str">
        <f>INDEX('Pricing (Drugs) SS'!$B:$B,MATCH(F123,'Pricing (Drugs) SS'!$A:$A,0))</f>
        <v>25% MANNITOL INJECTION, USP 12.5g/50mL (250mg/mL) 50mL VIAL</v>
      </c>
      <c r="C123" s="187" t="str">
        <f>INDEX('Pricing (Drugs) SS'!$E:$E,MATCH(F123,'Pricing (Drugs) SS'!$A:$A,0))</f>
        <v>250mg/mL</v>
      </c>
      <c r="D123" s="188" t="str">
        <f>INDEX('Pricing (Drugs) SS'!$F:$F,MATCH(F123,'Pricing (Drugs) SS'!$A:$A,0))</f>
        <v>50mL</v>
      </c>
      <c r="E123" s="188" t="str">
        <f>INDEX('Pricing (Drugs) SS'!$D:$D,MATCH(F123,'Pricing (Drugs) SS'!$A:$A,0))</f>
        <v>0409-4031-01</v>
      </c>
      <c r="F123" s="189">
        <v>1012880</v>
      </c>
      <c r="G123" s="241">
        <f>INDEX('Pricing (Drugs) SS'!$I:$I,MATCH(F123,'Pricing (Drugs) SS'!$A:$A,0))</f>
        <v>4.6912000000000003</v>
      </c>
      <c r="H123" s="241">
        <f t="shared" si="10"/>
        <v>0</v>
      </c>
      <c r="I123" s="191">
        <f>VLOOKUP(F123,'Price Sheet'!$A:$C,3,FALSE)</f>
        <v>9.99</v>
      </c>
      <c r="J123" s="191"/>
      <c r="K123" s="192">
        <f t="shared" si="13"/>
        <v>9.99</v>
      </c>
      <c r="L123" s="192">
        <f t="shared" si="8"/>
        <v>0</v>
      </c>
      <c r="M123" s="193" t="str">
        <f t="shared" si="11"/>
        <v/>
      </c>
      <c r="N123" s="194" t="str">
        <f t="shared" si="9"/>
        <v/>
      </c>
      <c r="O123" s="194" t="str">
        <f t="shared" si="12"/>
        <v/>
      </c>
      <c r="P123" s="124" t="str">
        <f>INDEX('Pricing (Drugs) SS'!$C:$C,MATCH(F123,'Pricing (Drugs) SS'!$A:$A,0))</f>
        <v>ACTIVE</v>
      </c>
      <c r="Q123" s="124" t="str">
        <f>IF(AND($K$23="Extra DEA Req",S123="X"),"SAFE- CONTROLLED",INDEX('Pricing (Drugs) SS'!$G:$G,MATCH(F123,'Pricing (Drugs) SS'!$A:$A,0)))</f>
        <v>DRUG ROOM</v>
      </c>
      <c r="R123" s="195" t="str">
        <f>INDEX('Pricing (Drugs) SS'!$H:$H,MATCH(F123,'Pricing (Drugs) SS'!$A:$A,0))</f>
        <v>Not on List</v>
      </c>
      <c r="S123" s="124" t="str">
        <f>IF(COUNTIFS('Version and Lists'!$F:$F,F123,'Version and Lists'!$G:$G,$L$22)&gt;0,"X","")</f>
        <v/>
      </c>
    </row>
    <row r="124" spans="1:19" ht="18.75" x14ac:dyDescent="0.3">
      <c r="A124" s="185">
        <f>INDEX('McKesson Formulary Calculator'!$A$12:$A$434,MATCH(F124,'McKesson Formulary Calculator'!$F$12:$F$434,0))</f>
        <v>0</v>
      </c>
      <c r="B124" s="186" t="str">
        <f>INDEX('Pricing (Drugs) SS'!$B:$B,MATCH(F124,'Pricing (Drugs) SS'!$A:$A,0))</f>
        <v>SOLU-MEDROL® 40MG PER VIAL 1mL ACT-O-VIAL®</v>
      </c>
      <c r="C124" s="187" t="str">
        <f>INDEX('Pricing (Drugs) SS'!$E:$E,MATCH(F124,'Pricing (Drugs) SS'!$A:$A,0))</f>
        <v>40mg</v>
      </c>
      <c r="D124" s="188" t="str">
        <f>INDEX('Pricing (Drugs) SS'!$F:$F,MATCH(F124,'Pricing (Drugs) SS'!$A:$A,0))</f>
        <v>1mL</v>
      </c>
      <c r="E124" s="188" t="str">
        <f>INDEX('Pricing (Drugs) SS'!$D:$D,MATCH(F124,'Pricing (Drugs) SS'!$A:$A,0))</f>
        <v>0009-0039-28</v>
      </c>
      <c r="F124" s="189">
        <v>1000670</v>
      </c>
      <c r="G124" s="241">
        <f>INDEX('Pricing (Drugs) SS'!$I:$I,MATCH(F124,'Pricing (Drugs) SS'!$A:$A,0))</f>
        <v>5.2595999999999998</v>
      </c>
      <c r="H124" s="241">
        <f t="shared" si="10"/>
        <v>0</v>
      </c>
      <c r="I124" s="191">
        <f>VLOOKUP(F124,'Price Sheet'!$A:$C,3,FALSE)</f>
        <v>24.06</v>
      </c>
      <c r="J124" s="191"/>
      <c r="K124" s="192">
        <f t="shared" si="13"/>
        <v>24.06</v>
      </c>
      <c r="L124" s="192">
        <f t="shared" si="8"/>
        <v>0</v>
      </c>
      <c r="M124" s="193" t="str">
        <f t="shared" si="11"/>
        <v/>
      </c>
      <c r="N124" s="194" t="str">
        <f t="shared" si="9"/>
        <v/>
      </c>
      <c r="O124" s="194" t="str">
        <f t="shared" si="12"/>
        <v/>
      </c>
      <c r="P124" s="124" t="str">
        <f>INDEX('Pricing (Drugs) SS'!$C:$C,MATCH(F124,'Pricing (Drugs) SS'!$A:$A,0))</f>
        <v>ACTIVE</v>
      </c>
      <c r="Q124" s="124" t="str">
        <f>IF(AND($K$23="Extra DEA Req",S124="X"),"SAFE- CONTROLLED",INDEX('Pricing (Drugs) SS'!$G:$G,MATCH(F124,'Pricing (Drugs) SS'!$A:$A,0)))</f>
        <v>DRUG ROOM</v>
      </c>
      <c r="R124" s="195" t="str">
        <f>INDEX('Pricing (Drugs) SS'!$H:$H,MATCH(F124,'Pricing (Drugs) SS'!$A:$A,0))</f>
        <v>Not on List</v>
      </c>
      <c r="S124" s="124" t="str">
        <f>IF(COUNTIFS('Version and Lists'!$F:$F,F124,'Version and Lists'!$G:$G,$L$22)&gt;0,"X","")</f>
        <v/>
      </c>
    </row>
    <row r="125" spans="1:19" ht="18.75" x14ac:dyDescent="0.3">
      <c r="A125" s="185">
        <f>INDEX('McKesson Formulary Calculator'!$A$12:$A$434,MATCH(F125,'McKesson Formulary Calculator'!$F$12:$F$434,0))</f>
        <v>0</v>
      </c>
      <c r="B125" s="186" t="str">
        <f>INDEX('Pricing (Drugs) SS'!$B:$B,MATCH(F125,'Pricing (Drugs) SS'!$A:$A,0))</f>
        <v>SOLU-MEDROL® 125MG PER VIAL 2mL ACT-O-VIAL®</v>
      </c>
      <c r="C125" s="187" t="str">
        <f>INDEX('Pricing (Drugs) SS'!$E:$E,MATCH(F125,'Pricing (Drugs) SS'!$A:$A,0))</f>
        <v>125mg</v>
      </c>
      <c r="D125" s="188" t="str">
        <f>INDEX('Pricing (Drugs) SS'!$F:$F,MATCH(F125,'Pricing (Drugs) SS'!$A:$A,0))</f>
        <v>2mL</v>
      </c>
      <c r="E125" s="188" t="str">
        <f>INDEX('Pricing (Drugs) SS'!$D:$D,MATCH(F125,'Pricing (Drugs) SS'!$A:$A,0))</f>
        <v>0009-0047-22</v>
      </c>
      <c r="F125" s="189">
        <v>1000660</v>
      </c>
      <c r="G125" s="241">
        <f>INDEX('Pricing (Drugs) SS'!$I:$I,MATCH(F125,'Pricing (Drugs) SS'!$A:$A,0))</f>
        <v>8.3699999999999992</v>
      </c>
      <c r="H125" s="241">
        <f t="shared" si="10"/>
        <v>0</v>
      </c>
      <c r="I125" s="191">
        <f>VLOOKUP(F125,'Price Sheet'!$A:$C,3,FALSE)</f>
        <v>31.99</v>
      </c>
      <c r="J125" s="191"/>
      <c r="K125" s="192">
        <f t="shared" si="13"/>
        <v>31.99</v>
      </c>
      <c r="L125" s="192">
        <f t="shared" si="8"/>
        <v>0</v>
      </c>
      <c r="M125" s="193" t="str">
        <f t="shared" si="11"/>
        <v/>
      </c>
      <c r="N125" s="194" t="str">
        <f t="shared" si="9"/>
        <v/>
      </c>
      <c r="O125" s="194" t="str">
        <f t="shared" si="12"/>
        <v/>
      </c>
      <c r="P125" s="124" t="str">
        <f>INDEX('Pricing (Drugs) SS'!$C:$C,MATCH(F125,'Pricing (Drugs) SS'!$A:$A,0))</f>
        <v>ACTIVE</v>
      </c>
      <c r="Q125" s="124" t="str">
        <f>IF(AND($K$23="Extra DEA Req",S125="X"),"SAFE- CONTROLLED",INDEX('Pricing (Drugs) SS'!$G:$G,MATCH(F125,'Pricing (Drugs) SS'!$A:$A,0)))</f>
        <v>DRUG ROOM</v>
      </c>
      <c r="R125" s="195" t="str">
        <f>INDEX('Pricing (Drugs) SS'!$H:$H,MATCH(F125,'Pricing (Drugs) SS'!$A:$A,0))</f>
        <v>Not on List</v>
      </c>
      <c r="S125" s="124" t="str">
        <f>IF(COUNTIFS('Version and Lists'!$F:$F,F125,'Version and Lists'!$G:$G,$L$22)&gt;0,"X","")</f>
        <v/>
      </c>
    </row>
    <row r="126" spans="1:19" ht="18.75" x14ac:dyDescent="0.3">
      <c r="A126" s="185">
        <f>INDEX('McKesson Formulary Calculator'!$A$12:$A$434,MATCH(F126,'McKesson Formulary Calculator'!$F$12:$F$434,0))</f>
        <v>0</v>
      </c>
      <c r="B126" s="186" t="str">
        <f>INDEX('Pricing (Drugs) SS'!$B:$B,MATCH(F126,'Pricing (Drugs) SS'!$A:$A,0))</f>
        <v>METOCLOPRAMIDE INJECTION, USP 10mg/2mL (5mg/mL) 2mL VIAL</v>
      </c>
      <c r="C126" s="187" t="str">
        <f>INDEX('Pricing (Drugs) SS'!$E:$E,MATCH(F126,'Pricing (Drugs) SS'!$A:$A,0))</f>
        <v>5mg/mL</v>
      </c>
      <c r="D126" s="188" t="str">
        <f>INDEX('Pricing (Drugs) SS'!$F:$F,MATCH(F126,'Pricing (Drugs) SS'!$A:$A,0))</f>
        <v>2mL</v>
      </c>
      <c r="E126" s="188" t="str">
        <f>INDEX('Pricing (Drugs) SS'!$D:$D,MATCH(F126,'Pricing (Drugs) SS'!$A:$A,0))</f>
        <v>0409-3414-11</v>
      </c>
      <c r="F126" s="189">
        <v>1024070</v>
      </c>
      <c r="G126" s="241">
        <f>INDEX('Pricing (Drugs) SS'!$I:$I,MATCH(F126,'Pricing (Drugs) SS'!$A:$A,0))</f>
        <v>1.1624000000000001</v>
      </c>
      <c r="H126" s="241">
        <f t="shared" si="10"/>
        <v>0</v>
      </c>
      <c r="I126" s="191">
        <f>VLOOKUP(F126,'Price Sheet'!$A:$C,3,FALSE)</f>
        <v>5.99</v>
      </c>
      <c r="J126" s="191"/>
      <c r="K126" s="192">
        <f t="shared" si="13"/>
        <v>5.99</v>
      </c>
      <c r="L126" s="192">
        <f t="shared" si="8"/>
        <v>0</v>
      </c>
      <c r="M126" s="193" t="str">
        <f t="shared" si="11"/>
        <v/>
      </c>
      <c r="N126" s="194" t="str">
        <f t="shared" si="9"/>
        <v/>
      </c>
      <c r="O126" s="194" t="str">
        <f t="shared" si="12"/>
        <v/>
      </c>
      <c r="P126" s="124" t="str">
        <f>INDEX('Pricing (Drugs) SS'!$C:$C,MATCH(F126,'Pricing (Drugs) SS'!$A:$A,0))</f>
        <v>ACTIVE</v>
      </c>
      <c r="Q126" s="124" t="str">
        <f>IF(AND($K$23="Extra DEA Req",S126="X"),"SAFE- CONTROLLED",INDEX('Pricing (Drugs) SS'!$G:$G,MATCH(F126,'Pricing (Drugs) SS'!$A:$A,0)))</f>
        <v>DRUG ROOM</v>
      </c>
      <c r="R126" s="195" t="str">
        <f>INDEX('Pricing (Drugs) SS'!$H:$H,MATCH(F126,'Pricing (Drugs) SS'!$A:$A,0))</f>
        <v>Not on List</v>
      </c>
      <c r="S126" s="124" t="str">
        <f>IF(COUNTIFS('Version and Lists'!$F:$F,F126,'Version and Lists'!$G:$G,$L$22)&gt;0,"X","")</f>
        <v/>
      </c>
    </row>
    <row r="127" spans="1:19" ht="18.75" x14ac:dyDescent="0.3">
      <c r="A127" s="185">
        <f>INDEX('McKesson Formulary Calculator'!$A$12:$A$434,MATCH(F127,'McKesson Formulary Calculator'!$F$12:$F$434,0))</f>
        <v>0</v>
      </c>
      <c r="B127" s="186" t="str">
        <f>INDEX('Pricing (Drugs) SS'!$B:$B,MATCH(F127,'Pricing (Drugs) SS'!$A:$A,0))</f>
        <v>NALBUPHINE HCI INJ. 10mg/mL 10mL VIAL</v>
      </c>
      <c r="C127" s="187" t="str">
        <f>INDEX('Pricing (Drugs) SS'!$E:$E,MATCH(F127,'Pricing (Drugs) SS'!$A:$A,0))</f>
        <v>10mg/mL</v>
      </c>
      <c r="D127" s="188" t="str">
        <f>INDEX('Pricing (Drugs) SS'!$F:$F,MATCH(F127,'Pricing (Drugs) SS'!$A:$A,0))</f>
        <v>10mL</v>
      </c>
      <c r="E127" s="188" t="str">
        <f>INDEX('Pricing (Drugs) SS'!$D:$D,MATCH(F127,'Pricing (Drugs) SS'!$A:$A,0))</f>
        <v>0409-1464-01</v>
      </c>
      <c r="F127" s="189">
        <v>1011850</v>
      </c>
      <c r="G127" s="241">
        <f>INDEX('Pricing (Drugs) SS'!$I:$I,MATCH(F127,'Pricing (Drugs) SS'!$A:$A,0))</f>
        <v>53.816800000000001</v>
      </c>
      <c r="H127" s="241">
        <f t="shared" si="10"/>
        <v>0</v>
      </c>
      <c r="I127" s="191">
        <f>VLOOKUP(F127,'Price Sheet'!$A:$C,3,FALSE)</f>
        <v>107.99</v>
      </c>
      <c r="J127" s="191"/>
      <c r="K127" s="192">
        <f t="shared" si="13"/>
        <v>107.99</v>
      </c>
      <c r="L127" s="192">
        <f t="shared" si="8"/>
        <v>0</v>
      </c>
      <c r="M127" s="193" t="str">
        <f t="shared" si="11"/>
        <v/>
      </c>
      <c r="N127" s="194" t="str">
        <f t="shared" si="9"/>
        <v/>
      </c>
      <c r="O127" s="194" t="str">
        <f t="shared" si="12"/>
        <v/>
      </c>
      <c r="P127" s="124" t="str">
        <f>INDEX('Pricing (Drugs) SS'!$C:$C,MATCH(F127,'Pricing (Drugs) SS'!$A:$A,0))</f>
        <v>ACTIVE</v>
      </c>
      <c r="Q127" s="124" t="str">
        <f>IF(AND($K$23="Extra DEA Req",S127="X"),"SAFE- CONTROLLED",INDEX('Pricing (Drugs) SS'!$G:$G,MATCH(F127,'Pricing (Drugs) SS'!$A:$A,0)))</f>
        <v>DRUG ROOM</v>
      </c>
      <c r="R127" s="195" t="str">
        <f>INDEX('Pricing (Drugs) SS'!$H:$H,MATCH(F127,'Pricing (Drugs) SS'!$A:$A,0))</f>
        <v>Not on List</v>
      </c>
      <c r="S127" s="124" t="str">
        <f>IF(COUNTIFS('Version and Lists'!$F:$F,F127,'Version and Lists'!$G:$G,$L$22)&gt;0,"X","")</f>
        <v/>
      </c>
    </row>
    <row r="128" spans="1:19" ht="18.75" x14ac:dyDescent="0.3">
      <c r="A128" s="185">
        <f>INDEX('McKesson Formulary Calculator'!$A$12:$A$434,MATCH(F128,'McKesson Formulary Calculator'!$F$12:$F$434,0))</f>
        <v>0</v>
      </c>
      <c r="B128" s="186" t="str">
        <f>INDEX('Pricing (Drugs) SS'!$B:$B,MATCH(F128,'Pricing (Drugs) SS'!$A:$A,0))</f>
        <v>NALOXONE HCl INJECTION, USP 0.4mg/mL 1mL VIAL</v>
      </c>
      <c r="C128" s="187" t="str">
        <f>INDEX('Pricing (Drugs) SS'!$E:$E,MATCH(F128,'Pricing (Drugs) SS'!$A:$A,0))</f>
        <v>0.4mg/mL</v>
      </c>
      <c r="D128" s="188" t="str">
        <f>INDEX('Pricing (Drugs) SS'!$F:$F,MATCH(F128,'Pricing (Drugs) SS'!$A:$A,0))</f>
        <v>1mL</v>
      </c>
      <c r="E128" s="188" t="str">
        <f>INDEX('Pricing (Drugs) SS'!$D:$D,MATCH(F128,'Pricing (Drugs) SS'!$A:$A,0))</f>
        <v>0641-6132-25</v>
      </c>
      <c r="F128" s="189">
        <v>1024160</v>
      </c>
      <c r="G128" s="241">
        <f>INDEX('Pricing (Drugs) SS'!$I:$I,MATCH(F128,'Pricing (Drugs) SS'!$A:$A,0))</f>
        <v>5.4</v>
      </c>
      <c r="H128" s="241">
        <f t="shared" si="10"/>
        <v>0</v>
      </c>
      <c r="I128" s="191">
        <f>VLOOKUP(F128,'Price Sheet'!$A:$C,3,FALSE)</f>
        <v>46.99</v>
      </c>
      <c r="J128" s="191"/>
      <c r="K128" s="192">
        <f t="shared" si="13"/>
        <v>46.99</v>
      </c>
      <c r="L128" s="192">
        <f t="shared" si="8"/>
        <v>0</v>
      </c>
      <c r="M128" s="193" t="str">
        <f t="shared" si="11"/>
        <v/>
      </c>
      <c r="N128" s="194" t="str">
        <f t="shared" si="9"/>
        <v/>
      </c>
      <c r="O128" s="194" t="str">
        <f t="shared" si="12"/>
        <v/>
      </c>
      <c r="P128" s="124" t="str">
        <f>INDEX('Pricing (Drugs) SS'!$C:$C,MATCH(F128,'Pricing (Drugs) SS'!$A:$A,0))</f>
        <v>ACTIVE</v>
      </c>
      <c r="Q128" s="124" t="str">
        <f>IF(AND($K$23="Extra DEA Req",S128="X"),"SAFE- CONTROLLED",INDEX('Pricing (Drugs) SS'!$G:$G,MATCH(F128,'Pricing (Drugs) SS'!$A:$A,0)))</f>
        <v>DRUG ROOM</v>
      </c>
      <c r="R128" s="195" t="str">
        <f>INDEX('Pricing (Drugs) SS'!$H:$H,MATCH(F128,'Pricing (Drugs) SS'!$A:$A,0))</f>
        <v>Not on List</v>
      </c>
      <c r="S128" s="124" t="str">
        <f>IF(COUNTIFS('Version and Lists'!$F:$F,F128,'Version and Lists'!$G:$G,$L$22)&gt;0,"X","")</f>
        <v/>
      </c>
    </row>
    <row r="129" spans="1:19" ht="18.75" x14ac:dyDescent="0.3">
      <c r="A129" s="185">
        <f>INDEX('McKesson Formulary Calculator'!$A$12:$A$434,MATCH(F129,'McKesson Formulary Calculator'!$F$12:$F$434,0))</f>
        <v>0</v>
      </c>
      <c r="B129" s="186" t="str">
        <f>INDEX('Pricing (Drugs) SS'!$B:$B,MATCH(F129,'Pricing (Drugs) SS'!$A:$A,0))</f>
        <v>NALOXONE HYDROCHLORIDE INJECTION, USP 0.4mg/mL 10mL VIAL</v>
      </c>
      <c r="C129" s="187" t="str">
        <f>INDEX('Pricing (Drugs) SS'!$E:$E,MATCH(F129,'Pricing (Drugs) SS'!$A:$A,0))</f>
        <v>0.4mg/mL</v>
      </c>
      <c r="D129" s="188" t="str">
        <f>INDEX('Pricing (Drugs) SS'!$F:$F,MATCH(F129,'Pricing (Drugs) SS'!$A:$A,0))</f>
        <v>10mL</v>
      </c>
      <c r="E129" s="188" t="str">
        <f>INDEX('Pricing (Drugs) SS'!$D:$D,MATCH(F129,'Pricing (Drugs) SS'!$A:$A,0))</f>
        <v>0409-1219-01</v>
      </c>
      <c r="F129" s="189">
        <v>1011800</v>
      </c>
      <c r="G129" s="241">
        <f>INDEX('Pricing (Drugs) SS'!$I:$I,MATCH(F129,'Pricing (Drugs) SS'!$A:$A,0))</f>
        <v>116.184</v>
      </c>
      <c r="H129" s="241">
        <f t="shared" si="10"/>
        <v>0</v>
      </c>
      <c r="I129" s="191">
        <f>VLOOKUP(F129,'Price Sheet'!$A:$C,3,FALSE)</f>
        <v>335.99</v>
      </c>
      <c r="J129" s="191"/>
      <c r="K129" s="192">
        <f t="shared" si="13"/>
        <v>335.99</v>
      </c>
      <c r="L129" s="192">
        <f t="shared" si="8"/>
        <v>0</v>
      </c>
      <c r="M129" s="193" t="str">
        <f t="shared" si="11"/>
        <v/>
      </c>
      <c r="N129" s="194" t="str">
        <f t="shared" si="9"/>
        <v/>
      </c>
      <c r="O129" s="194" t="str">
        <f t="shared" si="12"/>
        <v/>
      </c>
      <c r="P129" s="124" t="str">
        <f>INDEX('Pricing (Drugs) SS'!$C:$C,MATCH(F129,'Pricing (Drugs) SS'!$A:$A,0))</f>
        <v>ACTIVE</v>
      </c>
      <c r="Q129" s="124" t="str">
        <f>IF(AND($K$23="Extra DEA Req",S129="X"),"SAFE- CONTROLLED",INDEX('Pricing (Drugs) SS'!$G:$G,MATCH(F129,'Pricing (Drugs) SS'!$A:$A,0)))</f>
        <v>DRUG ROOM</v>
      </c>
      <c r="R129" s="195" t="str">
        <f>INDEX('Pricing (Drugs) SS'!$H:$H,MATCH(F129,'Pricing (Drugs) SS'!$A:$A,0))</f>
        <v>Not on List</v>
      </c>
      <c r="S129" s="124" t="str">
        <f>IF(COUNTIFS('Version and Lists'!$F:$F,F129,'Version and Lists'!$G:$G,$L$22)&gt;0,"X","")</f>
        <v/>
      </c>
    </row>
    <row r="130" spans="1:19" ht="18.75" x14ac:dyDescent="0.3">
      <c r="A130" s="185">
        <f>INDEX('McKesson Formulary Calculator'!$A$12:$A$434,MATCH(F130,'McKesson Formulary Calculator'!$F$12:$F$434,0))</f>
        <v>0</v>
      </c>
      <c r="B130" s="186" t="str">
        <f>INDEX('Pricing (Drugs) SS'!$B:$B,MATCH(F130,'Pricing (Drugs) SS'!$A:$A,0))</f>
        <v>NALOXONE HCI INJECTION, USP 4mg PER 10mL (0.4mg/mL) 10mL VIAL BOXED</v>
      </c>
      <c r="C130" s="187" t="str">
        <f>INDEX('Pricing (Drugs) SS'!$E:$E,MATCH(F130,'Pricing (Drugs) SS'!$A:$A,0))</f>
        <v>0.4mg/mL</v>
      </c>
      <c r="D130" s="188" t="str">
        <f>INDEX('Pricing (Drugs) SS'!$F:$F,MATCH(F130,'Pricing (Drugs) SS'!$A:$A,0))</f>
        <v>10mL</v>
      </c>
      <c r="E130" s="188" t="str">
        <f>INDEX('Pricing (Drugs) SS'!$D:$D,MATCH(F130,'Pricing (Drugs) SS'!$A:$A,0))</f>
        <v>70069-072-10</v>
      </c>
      <c r="F130" s="189">
        <v>1024630</v>
      </c>
      <c r="G130" s="241">
        <f>INDEX('Pricing (Drugs) SS'!$I:$I,MATCH(F130,'Pricing (Drugs) SS'!$A:$A,0))</f>
        <v>28.2</v>
      </c>
      <c r="H130" s="241">
        <f t="shared" si="10"/>
        <v>0</v>
      </c>
      <c r="I130" s="191">
        <f>VLOOKUP(F130,'Price Sheet'!$A:$C,3,FALSE)</f>
        <v>249.99</v>
      </c>
      <c r="J130" s="191"/>
      <c r="K130" s="192">
        <f t="shared" si="13"/>
        <v>249.99</v>
      </c>
      <c r="L130" s="192">
        <f t="shared" si="8"/>
        <v>0</v>
      </c>
      <c r="M130" s="193" t="str">
        <f t="shared" si="11"/>
        <v/>
      </c>
      <c r="N130" s="194" t="str">
        <f t="shared" si="9"/>
        <v/>
      </c>
      <c r="O130" s="194" t="str">
        <f t="shared" si="12"/>
        <v/>
      </c>
      <c r="P130" s="124" t="str">
        <f>INDEX('Pricing (Drugs) SS'!$C:$C,MATCH(F130,'Pricing (Drugs) SS'!$A:$A,0))</f>
        <v>ACTIVE</v>
      </c>
      <c r="Q130" s="124" t="str">
        <f>IF(AND($K$23="Extra DEA Req",S130="X"),"SAFE- CONTROLLED",INDEX('Pricing (Drugs) SS'!$G:$G,MATCH(F130,'Pricing (Drugs) SS'!$A:$A,0)))</f>
        <v>DRUG ROOM</v>
      </c>
      <c r="R130" s="195" t="str">
        <f>INDEX('Pricing (Drugs) SS'!$H:$H,MATCH(F130,'Pricing (Drugs) SS'!$A:$A,0))</f>
        <v>Not on List</v>
      </c>
      <c r="S130" s="124" t="str">
        <f>IF(COUNTIFS('Version and Lists'!$F:$F,F130,'Version and Lists'!$G:$G,$L$22)&gt;0,"X","")</f>
        <v/>
      </c>
    </row>
    <row r="131" spans="1:19" ht="18.75" x14ac:dyDescent="0.3">
      <c r="A131" s="185">
        <f>INDEX('McKesson Formulary Calculator'!$A$12:$A$434,MATCH(F131,'McKesson Formulary Calculator'!$F$12:$F$434,0))</f>
        <v>0</v>
      </c>
      <c r="B131" s="186" t="str">
        <f>INDEX('Pricing (Drugs) SS'!$B:$B,MATCH(F131,'Pricing (Drugs) SS'!$A:$A,0))</f>
        <v>NALOXONE HYDROCHLORIDE INJECTION, USP 2mg PER 2mL (1mg/mL) 2mL SYR</v>
      </c>
      <c r="C131" s="187" t="str">
        <f>INDEX('Pricing (Drugs) SS'!$E:$E,MATCH(F131,'Pricing (Drugs) SS'!$A:$A,0))</f>
        <v>1mg/mL</v>
      </c>
      <c r="D131" s="188" t="str">
        <f>INDEX('Pricing (Drugs) SS'!$F:$F,MATCH(F131,'Pricing (Drugs) SS'!$A:$A,0))</f>
        <v>2mL</v>
      </c>
      <c r="E131" s="188" t="str">
        <f>INDEX('Pricing (Drugs) SS'!$D:$D,MATCH(F131,'Pricing (Drugs) SS'!$A:$A,0))</f>
        <v>55150-345-10</v>
      </c>
      <c r="F131" s="189">
        <v>1017790</v>
      </c>
      <c r="G131" s="241">
        <f>INDEX('Pricing (Drugs) SS'!$I:$I,MATCH(F131,'Pricing (Drugs) SS'!$A:$A,0))</f>
        <v>10.8</v>
      </c>
      <c r="H131" s="241">
        <f t="shared" si="10"/>
        <v>0</v>
      </c>
      <c r="I131" s="191">
        <f>VLOOKUP(F131,'Price Sheet'!$A:$C,3,FALSE)</f>
        <v>59.99</v>
      </c>
      <c r="J131" s="191"/>
      <c r="K131" s="192">
        <f t="shared" si="13"/>
        <v>59.99</v>
      </c>
      <c r="L131" s="192">
        <f t="shared" si="8"/>
        <v>0</v>
      </c>
      <c r="M131" s="193" t="str">
        <f t="shared" si="11"/>
        <v/>
      </c>
      <c r="N131" s="194" t="str">
        <f t="shared" si="9"/>
        <v/>
      </c>
      <c r="O131" s="194" t="str">
        <f t="shared" si="12"/>
        <v/>
      </c>
      <c r="P131" s="124" t="str">
        <f>INDEX('Pricing (Drugs) SS'!$C:$C,MATCH(F131,'Pricing (Drugs) SS'!$A:$A,0))</f>
        <v>ACTIVE</v>
      </c>
      <c r="Q131" s="124" t="str">
        <f>IF(AND($K$23="Extra DEA Req",S131="X"),"SAFE- CONTROLLED",INDEX('Pricing (Drugs) SS'!$G:$G,MATCH(F131,'Pricing (Drugs) SS'!$A:$A,0)))</f>
        <v>DRUG ROOM</v>
      </c>
      <c r="R131" s="195" t="str">
        <f>INDEX('Pricing (Drugs) SS'!$H:$H,MATCH(F131,'Pricing (Drugs) SS'!$A:$A,0))</f>
        <v>Not on List</v>
      </c>
      <c r="S131" s="124" t="str">
        <f>IF(COUNTIFS('Version and Lists'!$F:$F,F131,'Version and Lists'!$G:$G,$L$22)&gt;0,"X","")</f>
        <v/>
      </c>
    </row>
    <row r="132" spans="1:19" ht="18.75" x14ac:dyDescent="0.3">
      <c r="A132" s="185">
        <f>INDEX('McKesson Formulary Calculator'!$A$12:$A$434,MATCH(F132,'McKesson Formulary Calculator'!$F$12:$F$434,0))</f>
        <v>0</v>
      </c>
      <c r="B132" s="186" t="str">
        <f>INDEX('Pricing (Drugs) SS'!$B:$B,MATCH(F132,'Pricing (Drugs) SS'!$A:$A,0))</f>
        <v>NARCAN NALOXONE HCI NASAL SPRAY 4mg/.1mL 2-PACK</v>
      </c>
      <c r="C132" s="187" t="str">
        <f>INDEX('Pricing (Drugs) SS'!$E:$E,MATCH(F132,'Pricing (Drugs) SS'!$A:$A,0))</f>
        <v>4mg/.1mL</v>
      </c>
      <c r="D132" s="188" t="str">
        <f>INDEX('Pricing (Drugs) SS'!$F:$F,MATCH(F132,'Pricing (Drugs) SS'!$A:$A,0))</f>
        <v>0.1mL</v>
      </c>
      <c r="E132" s="188" t="str">
        <f>INDEX('Pricing (Drugs) SS'!$D:$D,MATCH(F132,'Pricing (Drugs) SS'!$A:$A,0))</f>
        <v>69547-627-02</v>
      </c>
      <c r="F132" s="189">
        <v>1021770</v>
      </c>
      <c r="G132" s="241">
        <f>INDEX('Pricing (Drugs) SS'!$I:$I,MATCH(F132,'Pricing (Drugs) SS'!$A:$A,0))</f>
        <v>25</v>
      </c>
      <c r="H132" s="241">
        <f t="shared" si="10"/>
        <v>0</v>
      </c>
      <c r="I132" s="191">
        <f>VLOOKUP(F132,'Price Sheet'!$A:$C,3,FALSE)</f>
        <v>79.989999999999995</v>
      </c>
      <c r="J132" s="191"/>
      <c r="K132" s="192">
        <f t="shared" si="13"/>
        <v>79.989999999999995</v>
      </c>
      <c r="L132" s="192">
        <f t="shared" si="8"/>
        <v>0</v>
      </c>
      <c r="M132" s="193" t="str">
        <f t="shared" si="11"/>
        <v/>
      </c>
      <c r="N132" s="194" t="str">
        <f t="shared" si="9"/>
        <v/>
      </c>
      <c r="O132" s="194" t="str">
        <f t="shared" si="12"/>
        <v/>
      </c>
      <c r="P132" s="124" t="str">
        <f>INDEX('Pricing (Drugs) SS'!$C:$C,MATCH(F132,'Pricing (Drugs) SS'!$A:$A,0))</f>
        <v>RESTRICTED</v>
      </c>
      <c r="Q132" s="124" t="str">
        <f>IF(AND($K$23="Extra DEA Req",S132="X"),"SAFE- CONTROLLED",INDEX('Pricing (Drugs) SS'!$G:$G,MATCH(F132,'Pricing (Drugs) SS'!$A:$A,0)))</f>
        <v>DRUG ROOM</v>
      </c>
      <c r="R132" s="195" t="str">
        <f>INDEX('Pricing (Drugs) SS'!$H:$H,MATCH(F132,'Pricing (Drugs) SS'!$A:$A,0))</f>
        <v>Not on List</v>
      </c>
      <c r="S132" s="124" t="str">
        <f>IF(COUNTIFS('Version and Lists'!$F:$F,F132,'Version and Lists'!$G:$G,$L$22)&gt;0,"X","")</f>
        <v/>
      </c>
    </row>
    <row r="133" spans="1:19" ht="18.75" x14ac:dyDescent="0.3">
      <c r="A133" s="185">
        <f>INDEX('McKesson Formulary Calculator'!$A$12:$A$434,MATCH(F133,'McKesson Formulary Calculator'!$F$12:$F$434,0))</f>
        <v>0</v>
      </c>
      <c r="B133" s="186" t="str">
        <f>INDEX('Pricing (Drugs) SS'!$B:$B,MATCH(F133,'Pricing (Drugs) SS'!$A:$A,0))</f>
        <v>NICARDIPINE HYDROCHLORIDE INJECTION 25mg/10mL (2.5 mg/mL) 10mL VIAL</v>
      </c>
      <c r="C133" s="187" t="str">
        <f>INDEX('Pricing (Drugs) SS'!$E:$E,MATCH(F133,'Pricing (Drugs) SS'!$A:$A,0))</f>
        <v>2.5mg/mL</v>
      </c>
      <c r="D133" s="188" t="str">
        <f>INDEX('Pricing (Drugs) SS'!$F:$F,MATCH(F133,'Pricing (Drugs) SS'!$A:$A,0))</f>
        <v>10mL</v>
      </c>
      <c r="E133" s="188" t="str">
        <f>INDEX('Pricing (Drugs) SS'!$D:$D,MATCH(F133,'Pricing (Drugs) SS'!$A:$A,0))</f>
        <v>0143-9689-10</v>
      </c>
      <c r="F133" s="189">
        <v>1013020</v>
      </c>
      <c r="G133" s="241">
        <f>INDEX('Pricing (Drugs) SS'!$I:$I,MATCH(F133,'Pricing (Drugs) SS'!$A:$A,0))</f>
        <v>13.5</v>
      </c>
      <c r="H133" s="241">
        <f t="shared" si="10"/>
        <v>0</v>
      </c>
      <c r="I133" s="191">
        <f>VLOOKUP(F133,'Price Sheet'!$A:$C,3,FALSE)</f>
        <v>63.99</v>
      </c>
      <c r="J133" s="191"/>
      <c r="K133" s="192">
        <f t="shared" si="13"/>
        <v>63.99</v>
      </c>
      <c r="L133" s="192">
        <f t="shared" si="8"/>
        <v>0</v>
      </c>
      <c r="M133" s="193" t="str">
        <f t="shared" si="11"/>
        <v/>
      </c>
      <c r="N133" s="194" t="str">
        <f t="shared" si="9"/>
        <v/>
      </c>
      <c r="O133" s="194" t="str">
        <f t="shared" si="12"/>
        <v/>
      </c>
      <c r="P133" s="124" t="str">
        <f>INDEX('Pricing (Drugs) SS'!$C:$C,MATCH(F133,'Pricing (Drugs) SS'!$A:$A,0))</f>
        <v>ACTIVE</v>
      </c>
      <c r="Q133" s="124" t="str">
        <f>IF(AND($K$23="Extra DEA Req",S133="X"),"SAFE- CONTROLLED",INDEX('Pricing (Drugs) SS'!$G:$G,MATCH(F133,'Pricing (Drugs) SS'!$A:$A,0)))</f>
        <v>DRUG ROOM</v>
      </c>
      <c r="R133" s="195" t="str">
        <f>INDEX('Pricing (Drugs) SS'!$H:$H,MATCH(F133,'Pricing (Drugs) SS'!$A:$A,0))</f>
        <v>Not on List</v>
      </c>
      <c r="S133" s="124" t="str">
        <f>IF(COUNTIFS('Version and Lists'!$F:$F,F133,'Version and Lists'!$G:$G,$L$22)&gt;0,"X","")</f>
        <v/>
      </c>
    </row>
    <row r="134" spans="1:19" ht="18.75" x14ac:dyDescent="0.3">
      <c r="A134" s="185">
        <f>INDEX('McKesson Formulary Calculator'!$A$12:$A$434,MATCH(F134,'McKesson Formulary Calculator'!$F$12:$F$434,0))</f>
        <v>0</v>
      </c>
      <c r="B134" s="186" t="str">
        <f>INDEX('Pricing (Drugs) SS'!$B:$B,MATCH(F134,'Pricing (Drugs) SS'!$A:$A,0))</f>
        <v>NITROGLYCERIN INJECTION, USP 50mg/10mL (5mg/mL) 10mL VIAL</v>
      </c>
      <c r="C134" s="187" t="str">
        <f>INDEX('Pricing (Drugs) SS'!$E:$E,MATCH(F134,'Pricing (Drugs) SS'!$A:$A,0))</f>
        <v>5mg/mL</v>
      </c>
      <c r="D134" s="188" t="str">
        <f>INDEX('Pricing (Drugs) SS'!$F:$F,MATCH(F134,'Pricing (Drugs) SS'!$A:$A,0))</f>
        <v>10mL</v>
      </c>
      <c r="E134" s="188" t="str">
        <f>INDEX('Pricing (Drugs) SS'!$D:$D,MATCH(F134,'Pricing (Drugs) SS'!$A:$A,0))</f>
        <v>0517-4810-25</v>
      </c>
      <c r="F134" s="189">
        <v>1012240</v>
      </c>
      <c r="G134" s="241">
        <f>INDEX('Pricing (Drugs) SS'!$I:$I,MATCH(F134,'Pricing (Drugs) SS'!$A:$A,0))</f>
        <v>12.87</v>
      </c>
      <c r="H134" s="241">
        <f t="shared" si="10"/>
        <v>0</v>
      </c>
      <c r="I134" s="191">
        <f>VLOOKUP(F134,'Price Sheet'!$A:$C,3,FALSE)</f>
        <v>42.99</v>
      </c>
      <c r="J134" s="191"/>
      <c r="K134" s="192">
        <f t="shared" si="13"/>
        <v>42.99</v>
      </c>
      <c r="L134" s="192">
        <f t="shared" si="8"/>
        <v>0</v>
      </c>
      <c r="M134" s="193" t="str">
        <f t="shared" si="11"/>
        <v/>
      </c>
      <c r="N134" s="194" t="str">
        <f t="shared" si="9"/>
        <v/>
      </c>
      <c r="O134" s="194" t="str">
        <f t="shared" si="12"/>
        <v/>
      </c>
      <c r="P134" s="124" t="str">
        <f>INDEX('Pricing (Drugs) SS'!$C:$C,MATCH(F134,'Pricing (Drugs) SS'!$A:$A,0))</f>
        <v>ACTIVE</v>
      </c>
      <c r="Q134" s="124" t="str">
        <f>IF(AND($K$23="Extra DEA Req",S134="X"),"SAFE- CONTROLLED",INDEX('Pricing (Drugs) SS'!$G:$G,MATCH(F134,'Pricing (Drugs) SS'!$A:$A,0)))</f>
        <v>DRUG ROOM</v>
      </c>
      <c r="R134" s="195" t="str">
        <f>INDEX('Pricing (Drugs) SS'!$H:$H,MATCH(F134,'Pricing (Drugs) SS'!$A:$A,0))</f>
        <v>Not on List</v>
      </c>
      <c r="S134" s="124" t="str">
        <f>IF(COUNTIFS('Version and Lists'!$F:$F,F134,'Version and Lists'!$G:$G,$L$22)&gt;0,"X","")</f>
        <v/>
      </c>
    </row>
    <row r="135" spans="1:19" ht="18.75" x14ac:dyDescent="0.3">
      <c r="A135" s="185">
        <f>INDEX('McKesson Formulary Calculator'!$A$12:$A$434,MATCH(F135,'McKesson Formulary Calculator'!$F$12:$F$434,0))</f>
        <v>0</v>
      </c>
      <c r="B135" s="186" t="str">
        <f>INDEX('Pricing (Drugs) SS'!$B:$B,MATCH(F135,'Pricing (Drugs) SS'!$A:$A,0))</f>
        <v>NITROGLYCERIN LINGUAL SPRAY 400 mcg PER SPRAY 60 METERED SPRAYS BOXED</v>
      </c>
      <c r="C135" s="187" t="str">
        <f>INDEX('Pricing (Drugs) SS'!$E:$E,MATCH(F135,'Pricing (Drugs) SS'!$A:$A,0))</f>
        <v>400mcg per spray</v>
      </c>
      <c r="D135" s="188" t="str">
        <f>INDEX('Pricing (Drugs) SS'!$F:$F,MATCH(F135,'Pricing (Drugs) SS'!$A:$A,0))</f>
        <v>4.9g</v>
      </c>
      <c r="E135" s="188" t="str">
        <f>INDEX('Pricing (Drugs) SS'!$D:$D,MATCH(F135,'Pricing (Drugs) SS'!$A:$A,0))</f>
        <v>66993-241-50</v>
      </c>
      <c r="F135" s="189">
        <v>1024170</v>
      </c>
      <c r="G135" s="241">
        <f>INDEX('Pricing (Drugs) SS'!$I:$I,MATCH(F135,'Pricing (Drugs) SS'!$A:$A,0))</f>
        <v>75</v>
      </c>
      <c r="H135" s="241">
        <f t="shared" si="10"/>
        <v>0</v>
      </c>
      <c r="I135" s="191">
        <f>VLOOKUP(F135,'Price Sheet'!$A:$C,3,FALSE)</f>
        <v>249.95</v>
      </c>
      <c r="J135" s="191"/>
      <c r="K135" s="192">
        <f t="shared" si="13"/>
        <v>249.95</v>
      </c>
      <c r="L135" s="192">
        <f t="shared" si="8"/>
        <v>0</v>
      </c>
      <c r="M135" s="193" t="str">
        <f t="shared" si="11"/>
        <v/>
      </c>
      <c r="N135" s="194" t="str">
        <f t="shared" si="9"/>
        <v/>
      </c>
      <c r="O135" s="194" t="str">
        <f t="shared" si="12"/>
        <v/>
      </c>
      <c r="P135" s="124" t="str">
        <f>INDEX('Pricing (Drugs) SS'!$C:$C,MATCH(F135,'Pricing (Drugs) SS'!$A:$A,0))</f>
        <v>ACTIVE</v>
      </c>
      <c r="Q135" s="124" t="str">
        <f>IF(AND($K$23="Extra DEA Req",S135="X"),"SAFE- CONTROLLED",INDEX('Pricing (Drugs) SS'!$G:$G,MATCH(F135,'Pricing (Drugs) SS'!$A:$A,0)))</f>
        <v>DRUG ROOM</v>
      </c>
      <c r="R135" s="195" t="str">
        <f>INDEX('Pricing (Drugs) SS'!$H:$H,MATCH(F135,'Pricing (Drugs) SS'!$A:$A,0))</f>
        <v>Not on List</v>
      </c>
      <c r="S135" s="124" t="str">
        <f>IF(COUNTIFS('Version and Lists'!$F:$F,F135,'Version and Lists'!$G:$G,$L$22)&gt;0,"X","")</f>
        <v/>
      </c>
    </row>
    <row r="136" spans="1:19" ht="18.75" x14ac:dyDescent="0.3">
      <c r="A136" s="185">
        <f>INDEX('McKesson Formulary Calculator'!$A$12:$A$434,MATCH(F136,'McKesson Formulary Calculator'!$F$12:$F$434,0))</f>
        <v>0</v>
      </c>
      <c r="B136" s="186" t="str">
        <f>INDEX('Pricing (Drugs) SS'!$B:$B,MATCH(F136,'Pricing (Drugs) SS'!$A:$A,0))</f>
        <v>NITROGLYCERIN SUBLINGUAL TABLETS, USP 0.4mg/TABLET 25TABS</v>
      </c>
      <c r="C136" s="187" t="str">
        <f>INDEX('Pricing (Drugs) SS'!$E:$E,MATCH(F136,'Pricing (Drugs) SS'!$A:$A,0))</f>
        <v>0.4mg/tablets</v>
      </c>
      <c r="D136" s="188" t="str">
        <f>INDEX('Pricing (Drugs) SS'!$F:$F,MATCH(F136,'Pricing (Drugs) SS'!$A:$A,0))</f>
        <v>25 tablets</v>
      </c>
      <c r="E136" s="188" t="str">
        <f>INDEX('Pricing (Drugs) SS'!$D:$D,MATCH(F136,'Pricing (Drugs) SS'!$A:$A,0))</f>
        <v>43598-436-11</v>
      </c>
      <c r="F136" s="189">
        <v>1001140</v>
      </c>
      <c r="G136" s="241">
        <f>INDEX('Pricing (Drugs) SS'!$I:$I,MATCH(F136,'Pricing (Drugs) SS'!$A:$A,0))</f>
        <v>8.99</v>
      </c>
      <c r="H136" s="241">
        <f t="shared" si="10"/>
        <v>0</v>
      </c>
      <c r="I136" s="191">
        <f>VLOOKUP(F136,'Price Sheet'!$A:$C,3,FALSE)</f>
        <v>54.99</v>
      </c>
      <c r="J136" s="191"/>
      <c r="K136" s="192">
        <f t="shared" si="13"/>
        <v>54.99</v>
      </c>
      <c r="L136" s="192">
        <f t="shared" si="8"/>
        <v>0</v>
      </c>
      <c r="M136" s="193" t="str">
        <f t="shared" si="11"/>
        <v/>
      </c>
      <c r="N136" s="194" t="str">
        <f t="shared" si="9"/>
        <v/>
      </c>
      <c r="O136" s="194" t="str">
        <f t="shared" si="12"/>
        <v/>
      </c>
      <c r="P136" s="124" t="str">
        <f>INDEX('Pricing (Drugs) SS'!$C:$C,MATCH(F136,'Pricing (Drugs) SS'!$A:$A,0))</f>
        <v>ACTIVE</v>
      </c>
      <c r="Q136" s="124" t="str">
        <f>IF(AND($K$23="Extra DEA Req",S136="X"),"SAFE- CONTROLLED",INDEX('Pricing (Drugs) SS'!$G:$G,MATCH(F136,'Pricing (Drugs) SS'!$A:$A,0)))</f>
        <v>DRUG ROOM</v>
      </c>
      <c r="R136" s="195" t="str">
        <f>INDEX('Pricing (Drugs) SS'!$H:$H,MATCH(F136,'Pricing (Drugs) SS'!$A:$A,0))</f>
        <v>Not on List</v>
      </c>
      <c r="S136" s="124" t="str">
        <f>IF(COUNTIFS('Version and Lists'!$F:$F,F136,'Version and Lists'!$G:$G,$L$22)&gt;0,"X","")</f>
        <v/>
      </c>
    </row>
    <row r="137" spans="1:19" ht="18.75" x14ac:dyDescent="0.3">
      <c r="A137" s="185">
        <f>INDEX('McKesson Formulary Calculator'!$A$12:$A$434,MATCH(F137,'McKesson Formulary Calculator'!$F$12:$F$434,0))</f>
        <v>0</v>
      </c>
      <c r="B137" s="186" t="str">
        <f>INDEX('Pricing (Drugs) SS'!$B:$B,MATCH(F137,'Pricing (Drugs) SS'!$A:$A,0))</f>
        <v>NITROGLYCERIN SUBLINGUAL TABLETS, USP 0.4mg/TABLET 25TABS</v>
      </c>
      <c r="C137" s="187" t="str">
        <f>INDEX('Pricing (Drugs) SS'!$E:$E,MATCH(F137,'Pricing (Drugs) SS'!$A:$A,0))</f>
        <v>.4 mg/1</v>
      </c>
      <c r="D137" s="188" t="str">
        <f>INDEX('Pricing (Drugs) SS'!$F:$F,MATCH(F137,'Pricing (Drugs) SS'!$A:$A,0))</f>
        <v>25 tablets</v>
      </c>
      <c r="E137" s="188" t="str">
        <f>INDEX('Pricing (Drugs) SS'!$D:$D,MATCH(F137,'Pricing (Drugs) SS'!$A:$A,0))</f>
        <v>72888-139-33</v>
      </c>
      <c r="F137" s="189">
        <v>1024800</v>
      </c>
      <c r="G137" s="241">
        <f>INDEX('Pricing (Drugs) SS'!$I:$I,MATCH(F137,'Pricing (Drugs) SS'!$A:$A,0))</f>
        <v>1.2175</v>
      </c>
      <c r="H137" s="241">
        <f t="shared" si="10"/>
        <v>0</v>
      </c>
      <c r="I137" s="191">
        <f>VLOOKUP(F137,'Price Sheet'!$A:$C,3,FALSE)</f>
        <v>49.98</v>
      </c>
      <c r="J137" s="191"/>
      <c r="K137" s="192">
        <f t="shared" si="13"/>
        <v>49.98</v>
      </c>
      <c r="L137" s="192">
        <f t="shared" si="8"/>
        <v>0</v>
      </c>
      <c r="M137" s="193" t="str">
        <f t="shared" si="11"/>
        <v/>
      </c>
      <c r="N137" s="194" t="str">
        <f t="shared" si="9"/>
        <v/>
      </c>
      <c r="O137" s="194" t="str">
        <f t="shared" si="12"/>
        <v/>
      </c>
      <c r="P137" s="124" t="str">
        <f>INDEX('Pricing (Drugs) SS'!$C:$C,MATCH(F137,'Pricing (Drugs) SS'!$A:$A,0))</f>
        <v>ACTIVE</v>
      </c>
      <c r="Q137" s="124" t="str">
        <f>IF(AND($K$23="Extra DEA Req",S137="X"),"SAFE- CONTROLLED",INDEX('Pricing (Drugs) SS'!$G:$G,MATCH(F137,'Pricing (Drugs) SS'!$A:$A,0)))</f>
        <v>DRUG ROOM</v>
      </c>
      <c r="R137" s="195" t="str">
        <f>INDEX('Pricing (Drugs) SS'!$H:$H,MATCH(F137,'Pricing (Drugs) SS'!$A:$A,0))</f>
        <v>Not on List</v>
      </c>
      <c r="S137" s="124" t="str">
        <f>IF(COUNTIFS('Version and Lists'!$F:$F,F137,'Version and Lists'!$G:$G,$L$22)&gt;0,"X","")</f>
        <v/>
      </c>
    </row>
    <row r="138" spans="1:19" ht="18.75" x14ac:dyDescent="0.3">
      <c r="A138" s="185">
        <f>INDEX('McKesson Formulary Calculator'!$A$12:$A$434,MATCH(F138,'McKesson Formulary Calculator'!$F$12:$F$434,0))</f>
        <v>0</v>
      </c>
      <c r="B138" s="186" t="str">
        <f>INDEX('Pricing (Drugs) SS'!$B:$B,MATCH(F138,'Pricing (Drugs) SS'!$A:$A,0))</f>
        <v>NOREPINEPHRINE BITARTRATE INJECTION, USP 4mg PER 4mL (1 mg/mL) 4mL VIAL</v>
      </c>
      <c r="C138" s="187" t="str">
        <f>INDEX('Pricing (Drugs) SS'!$E:$E,MATCH(F138,'Pricing (Drugs) SS'!$A:$A,0))</f>
        <v>1mg/mL</v>
      </c>
      <c r="D138" s="188" t="str">
        <f>INDEX('Pricing (Drugs) SS'!$F:$F,MATCH(F138,'Pricing (Drugs) SS'!$A:$A,0))</f>
        <v>4mL</v>
      </c>
      <c r="E138" s="188" t="str">
        <f>INDEX('Pricing (Drugs) SS'!$D:$D,MATCH(F138,'Pricing (Drugs) SS'!$A:$A,0))</f>
        <v>0143-9318-10</v>
      </c>
      <c r="F138" s="189">
        <v>1015820</v>
      </c>
      <c r="G138" s="241">
        <f>INDEX('Pricing (Drugs) SS'!$I:$I,MATCH(F138,'Pricing (Drugs) SS'!$A:$A,0))</f>
        <v>3.3</v>
      </c>
      <c r="H138" s="241">
        <f t="shared" si="10"/>
        <v>0</v>
      </c>
      <c r="I138" s="191">
        <f>VLOOKUP(F138,'Price Sheet'!$A:$C,3,FALSE)</f>
        <v>52.5</v>
      </c>
      <c r="J138" s="191"/>
      <c r="K138" s="192">
        <f t="shared" si="13"/>
        <v>52.5</v>
      </c>
      <c r="L138" s="192">
        <f t="shared" si="8"/>
        <v>0</v>
      </c>
      <c r="M138" s="193" t="str">
        <f t="shared" si="11"/>
        <v/>
      </c>
      <c r="N138" s="194" t="str">
        <f t="shared" si="9"/>
        <v/>
      </c>
      <c r="O138" s="194" t="str">
        <f t="shared" si="12"/>
        <v/>
      </c>
      <c r="P138" s="124" t="str">
        <f>INDEX('Pricing (Drugs) SS'!$C:$C,MATCH(F138,'Pricing (Drugs) SS'!$A:$A,0))</f>
        <v>ACTIVE</v>
      </c>
      <c r="Q138" s="124" t="str">
        <f>IF(AND($K$23="Extra DEA Req",S138="X"),"SAFE- CONTROLLED",INDEX('Pricing (Drugs) SS'!$G:$G,MATCH(F138,'Pricing (Drugs) SS'!$A:$A,0)))</f>
        <v>DRUG ROOM</v>
      </c>
      <c r="R138" s="195" t="str">
        <f>INDEX('Pricing (Drugs) SS'!$H:$H,MATCH(F138,'Pricing (Drugs) SS'!$A:$A,0))</f>
        <v>Not on List</v>
      </c>
      <c r="S138" s="124" t="str">
        <f>IF(COUNTIFS('Version and Lists'!$F:$F,F138,'Version and Lists'!$G:$G,$L$22)&gt;0,"X","")</f>
        <v/>
      </c>
    </row>
    <row r="139" spans="1:19" ht="18.75" x14ac:dyDescent="0.3">
      <c r="A139" s="185">
        <f>INDEX('McKesson Formulary Calculator'!$A$12:$A$434,MATCH(F139,'McKesson Formulary Calculator'!$F$12:$F$434,0))</f>
        <v>0</v>
      </c>
      <c r="B139" s="186" t="str">
        <f>INDEX('Pricing (Drugs) SS'!$B:$B,MATCH(F139,'Pricing (Drugs) SS'!$A:$A,0))</f>
        <v>ONDANSETRON ORALLY DISINTEGRATING TABLETS, USP 4mg (2 PACK)</v>
      </c>
      <c r="C139" s="187" t="str">
        <f>INDEX('Pricing (Drugs) SS'!$E:$E,MATCH(F139,'Pricing (Drugs) SS'!$A:$A,0))</f>
        <v>4mg</v>
      </c>
      <c r="D139" s="188" t="str">
        <f>INDEX('Pricing (Drugs) SS'!$F:$F,MATCH(F139,'Pricing (Drugs) SS'!$A:$A,0))</f>
        <v>1 TABLET</v>
      </c>
      <c r="E139" s="188" t="str">
        <f>INDEX('Pricing (Drugs) SS'!$D:$D,MATCH(F139,'Pricing (Drugs) SS'!$A:$A,0))</f>
        <v>57237-077-10</v>
      </c>
      <c r="F139" s="189">
        <v>1014330</v>
      </c>
      <c r="G139" s="241">
        <f>INDEX('Pricing (Drugs) SS'!$I:$I,MATCH(F139,'Pricing (Drugs) SS'!$A:$A,0))</f>
        <v>0.19466666666666699</v>
      </c>
      <c r="H139" s="241">
        <f t="shared" si="10"/>
        <v>0</v>
      </c>
      <c r="I139" s="191">
        <f>VLOOKUP(F139,'Price Sheet'!$A:$C,3,FALSE)</f>
        <v>4.99</v>
      </c>
      <c r="J139" s="191"/>
      <c r="K139" s="192">
        <f t="shared" si="13"/>
        <v>4.99</v>
      </c>
      <c r="L139" s="192">
        <f t="shared" si="8"/>
        <v>0</v>
      </c>
      <c r="M139" s="193" t="str">
        <f t="shared" si="11"/>
        <v/>
      </c>
      <c r="N139" s="194" t="str">
        <f t="shared" si="9"/>
        <v/>
      </c>
      <c r="O139" s="194" t="str">
        <f t="shared" si="12"/>
        <v/>
      </c>
      <c r="P139" s="124" t="str">
        <f>INDEX('Pricing (Drugs) SS'!$C:$C,MATCH(F139,'Pricing (Drugs) SS'!$A:$A,0))</f>
        <v>ACTIVE</v>
      </c>
      <c r="Q139" s="124" t="str">
        <f>IF(AND($K$23="Extra DEA Req",S139="X"),"SAFE- CONTROLLED",INDEX('Pricing (Drugs) SS'!$G:$G,MATCH(F139,'Pricing (Drugs) SS'!$A:$A,0)))</f>
        <v>DRUG ROOM</v>
      </c>
      <c r="R139" s="195" t="str">
        <f>INDEX('Pricing (Drugs) SS'!$H:$H,MATCH(F139,'Pricing (Drugs) SS'!$A:$A,0))</f>
        <v>Not on List</v>
      </c>
      <c r="S139" s="124" t="str">
        <f>IF(COUNTIFS('Version and Lists'!$F:$F,F139,'Version and Lists'!$G:$G,$L$22)&gt;0,"X","")</f>
        <v/>
      </c>
    </row>
    <row r="140" spans="1:19" ht="18.75" x14ac:dyDescent="0.3">
      <c r="A140" s="185">
        <f>INDEX('McKesson Formulary Calculator'!$A$12:$A$434,MATCH(F140,'McKesson Formulary Calculator'!$F$12:$F$434,0))</f>
        <v>0</v>
      </c>
      <c r="B140" s="186" t="str">
        <f>INDEX('Pricing (Drugs) SS'!$B:$B,MATCH(F140,'Pricing (Drugs) SS'!$A:$A,0))</f>
        <v>ONDANSETRON INJECTION, USP 4mg/2mL (2mg/mL) VIAL</v>
      </c>
      <c r="C140" s="187" t="str">
        <f>INDEX('Pricing (Drugs) SS'!$E:$E,MATCH(F140,'Pricing (Drugs) SS'!$A:$A,0))</f>
        <v>2mg/mL</v>
      </c>
      <c r="D140" s="188" t="str">
        <f>INDEX('Pricing (Drugs) SS'!$F:$F,MATCH(F140,'Pricing (Drugs) SS'!$A:$A,0))</f>
        <v>2mL</v>
      </c>
      <c r="E140" s="188" t="str">
        <f>INDEX('Pricing (Drugs) SS'!$D:$D,MATCH(F140,'Pricing (Drugs) SS'!$A:$A,0))</f>
        <v>0641-6078-25</v>
      </c>
      <c r="F140" s="189">
        <v>1000480</v>
      </c>
      <c r="G140" s="241">
        <f>INDEX('Pricing (Drugs) SS'!$I:$I,MATCH(F140,'Pricing (Drugs) SS'!$A:$A,0))</f>
        <v>0.32079999999999997</v>
      </c>
      <c r="H140" s="241">
        <f t="shared" si="10"/>
        <v>0</v>
      </c>
      <c r="I140" s="191">
        <f>VLOOKUP(F140,'Price Sheet'!$A:$C,3,FALSE)</f>
        <v>14.95</v>
      </c>
      <c r="J140" s="191"/>
      <c r="K140" s="192">
        <f t="shared" si="13"/>
        <v>14.95</v>
      </c>
      <c r="L140" s="192">
        <f t="shared" si="8"/>
        <v>0</v>
      </c>
      <c r="M140" s="193" t="str">
        <f t="shared" si="11"/>
        <v/>
      </c>
      <c r="N140" s="194" t="str">
        <f t="shared" si="9"/>
        <v/>
      </c>
      <c r="O140" s="194" t="str">
        <f t="shared" si="12"/>
        <v/>
      </c>
      <c r="P140" s="124" t="str">
        <f>INDEX('Pricing (Drugs) SS'!$C:$C,MATCH(F140,'Pricing (Drugs) SS'!$A:$A,0))</f>
        <v>ACTIVE</v>
      </c>
      <c r="Q140" s="124" t="str">
        <f>IF(AND($K$23="Extra DEA Req",S140="X"),"SAFE- CONTROLLED",INDEX('Pricing (Drugs) SS'!$G:$G,MATCH(F140,'Pricing (Drugs) SS'!$A:$A,0)))</f>
        <v>DRUG ROOM</v>
      </c>
      <c r="R140" s="195" t="str">
        <f>INDEX('Pricing (Drugs) SS'!$H:$H,MATCH(F140,'Pricing (Drugs) SS'!$A:$A,0))</f>
        <v>Not on List</v>
      </c>
      <c r="S140" s="124" t="str">
        <f>IF(COUNTIFS('Version and Lists'!$F:$F,F140,'Version and Lists'!$G:$G,$L$22)&gt;0,"X","")</f>
        <v/>
      </c>
    </row>
    <row r="141" spans="1:19" ht="18.75" x14ac:dyDescent="0.3">
      <c r="A141" s="185">
        <f>INDEX('McKesson Formulary Calculator'!$A$12:$A$434,MATCH(F141,'McKesson Formulary Calculator'!$F$12:$F$434,0))</f>
        <v>0</v>
      </c>
      <c r="B141" s="186" t="str">
        <f>INDEX('Pricing (Drugs) SS'!$B:$B,MATCH(F141,'Pricing (Drugs) SS'!$A:$A,0))</f>
        <v>PHENYLEPHRINE HCI INJECTION, USP 10mg/mL 1mL VIAL</v>
      </c>
      <c r="C141" s="187" t="str">
        <f>INDEX('Pricing (Drugs) SS'!$E:$E,MATCH(F141,'Pricing (Drugs) SS'!$A:$A,0))</f>
        <v>10mg/mL</v>
      </c>
      <c r="D141" s="188" t="str">
        <f>INDEX('Pricing (Drugs) SS'!$F:$F,MATCH(F141,'Pricing (Drugs) SS'!$A:$A,0))</f>
        <v>1mL</v>
      </c>
      <c r="E141" s="188" t="str">
        <f>INDEX('Pricing (Drugs) SS'!$D:$D,MATCH(F141,'Pricing (Drugs) SS'!$A:$A,0))</f>
        <v>0641-6142-25</v>
      </c>
      <c r="F141" s="189">
        <v>1000520</v>
      </c>
      <c r="G141" s="241">
        <f>INDEX('Pricing (Drugs) SS'!$I:$I,MATCH(F141,'Pricing (Drugs) SS'!$A:$A,0))</f>
        <v>0.95</v>
      </c>
      <c r="H141" s="241">
        <f t="shared" si="10"/>
        <v>0</v>
      </c>
      <c r="I141" s="191">
        <f>VLOOKUP(F141,'Price Sheet'!$A:$C,3,FALSE)</f>
        <v>25.45</v>
      </c>
      <c r="J141" s="191"/>
      <c r="K141" s="192">
        <f t="shared" si="13"/>
        <v>25.45</v>
      </c>
      <c r="L141" s="192">
        <f t="shared" si="8"/>
        <v>0</v>
      </c>
      <c r="M141" s="193" t="str">
        <f t="shared" si="11"/>
        <v/>
      </c>
      <c r="N141" s="194" t="str">
        <f t="shared" si="9"/>
        <v/>
      </c>
      <c r="O141" s="194" t="str">
        <f t="shared" si="12"/>
        <v/>
      </c>
      <c r="P141" s="124" t="str">
        <f>INDEX('Pricing (Drugs) SS'!$C:$C,MATCH(F141,'Pricing (Drugs) SS'!$A:$A,0))</f>
        <v>ACTIVE</v>
      </c>
      <c r="Q141" s="124" t="str">
        <f>IF(AND($K$23="Extra DEA Req",S141="X"),"SAFE- CONTROLLED",INDEX('Pricing (Drugs) SS'!$G:$G,MATCH(F141,'Pricing (Drugs) SS'!$A:$A,0)))</f>
        <v>DRUG ROOM</v>
      </c>
      <c r="R141" s="195" t="str">
        <f>INDEX('Pricing (Drugs) SS'!$H:$H,MATCH(F141,'Pricing (Drugs) SS'!$A:$A,0))</f>
        <v>Not on List</v>
      </c>
      <c r="S141" s="124" t="str">
        <f>IF(COUNTIFS('Version and Lists'!$F:$F,F141,'Version and Lists'!$G:$G,$L$22)&gt;0,"X","")</f>
        <v/>
      </c>
    </row>
    <row r="142" spans="1:19" ht="18.75" x14ac:dyDescent="0.3">
      <c r="A142" s="185">
        <f>INDEX('McKesson Formulary Calculator'!$A$12:$A$434,MATCH(F142,'McKesson Formulary Calculator'!$F$12:$F$434,0))</f>
        <v>0</v>
      </c>
      <c r="B142" s="186" t="str">
        <f>INDEX('Pricing (Drugs) SS'!$B:$B,MATCH(F142,'Pricing (Drugs) SS'!$A:$A,0))</f>
        <v>PHENYTOIN SODIUM INJ., USP 100mg/2mL (50mg/mL) VIAL</v>
      </c>
      <c r="C142" s="187" t="str">
        <f>INDEX('Pricing (Drugs) SS'!$E:$E,MATCH(F142,'Pricing (Drugs) SS'!$A:$A,0))</f>
        <v>50mg/mL</v>
      </c>
      <c r="D142" s="188" t="str">
        <f>INDEX('Pricing (Drugs) SS'!$F:$F,MATCH(F142,'Pricing (Drugs) SS'!$A:$A,0))</f>
        <v>2mL</v>
      </c>
      <c r="E142" s="188" t="str">
        <f>INDEX('Pricing (Drugs) SS'!$D:$D,MATCH(F142,'Pricing (Drugs) SS'!$A:$A,0))</f>
        <v>0641-0493-25</v>
      </c>
      <c r="F142" s="189">
        <v>1000540</v>
      </c>
      <c r="G142" s="241">
        <f>INDEX('Pricing (Drugs) SS'!$I:$I,MATCH(F142,'Pricing (Drugs) SS'!$A:$A,0))</f>
        <v>1.2504</v>
      </c>
      <c r="H142" s="241">
        <f t="shared" si="10"/>
        <v>0</v>
      </c>
      <c r="I142" s="191">
        <f>VLOOKUP(F142,'Price Sheet'!$A:$C,3,FALSE)</f>
        <v>11.2</v>
      </c>
      <c r="J142" s="191"/>
      <c r="K142" s="192">
        <f t="shared" si="13"/>
        <v>11.2</v>
      </c>
      <c r="L142" s="192">
        <f t="shared" si="8"/>
        <v>0</v>
      </c>
      <c r="M142" s="193" t="str">
        <f t="shared" si="11"/>
        <v/>
      </c>
      <c r="N142" s="194" t="str">
        <f t="shared" si="9"/>
        <v/>
      </c>
      <c r="O142" s="194" t="str">
        <f t="shared" si="12"/>
        <v/>
      </c>
      <c r="P142" s="124" t="str">
        <f>INDEX('Pricing (Drugs) SS'!$C:$C,MATCH(F142,'Pricing (Drugs) SS'!$A:$A,0))</f>
        <v>ACTIVE</v>
      </c>
      <c r="Q142" s="124" t="str">
        <f>IF(AND($K$23="Extra DEA Req",S142="X"),"SAFE- CONTROLLED",INDEX('Pricing (Drugs) SS'!$G:$G,MATCH(F142,'Pricing (Drugs) SS'!$A:$A,0)))</f>
        <v>DRUG ROOM</v>
      </c>
      <c r="R142" s="195" t="str">
        <f>INDEX('Pricing (Drugs) SS'!$H:$H,MATCH(F142,'Pricing (Drugs) SS'!$A:$A,0))</f>
        <v>Not on List</v>
      </c>
      <c r="S142" s="124" t="str">
        <f>IF(COUNTIFS('Version and Lists'!$F:$F,F142,'Version and Lists'!$G:$G,$L$22)&gt;0,"X","")</f>
        <v/>
      </c>
    </row>
    <row r="143" spans="1:19" ht="18.75" x14ac:dyDescent="0.3">
      <c r="A143" s="185">
        <f>INDEX('McKesson Formulary Calculator'!$A$12:$A$434,MATCH(F143,'McKesson Formulary Calculator'!$F$12:$F$434,0))</f>
        <v>0</v>
      </c>
      <c r="B143" s="186" t="str">
        <f>INDEX('Pricing (Drugs) SS'!$B:$B,MATCH(F143,'Pricing (Drugs) SS'!$A:$A,0))</f>
        <v>POTASSIUM CHLORIDE FOR INJECTION CONCENTRATE, USP 20 mEq/10mL (2 mEq/mL)</v>
      </c>
      <c r="C143" s="187" t="str">
        <f>INDEX('Pricing (Drugs) SS'!$E:$E,MATCH(F143,'Pricing (Drugs) SS'!$A:$A,0))</f>
        <v>2 mEq/mL</v>
      </c>
      <c r="D143" s="188" t="str">
        <f>INDEX('Pricing (Drugs) SS'!$F:$F,MATCH(F143,'Pricing (Drugs) SS'!$A:$A,0))</f>
        <v>10mL</v>
      </c>
      <c r="E143" s="188" t="str">
        <f>INDEX('Pricing (Drugs) SS'!$D:$D,MATCH(F143,'Pricing (Drugs) SS'!$A:$A,0))</f>
        <v>0409-6651-06</v>
      </c>
      <c r="F143" s="189">
        <v>1011810</v>
      </c>
      <c r="G143" s="241">
        <f>INDEX('Pricing (Drugs) SS'!$I:$I,MATCH(F143,'Pricing (Drugs) SS'!$A:$A,0))</f>
        <v>3.59</v>
      </c>
      <c r="H143" s="241">
        <f t="shared" si="10"/>
        <v>0</v>
      </c>
      <c r="I143" s="191">
        <f>VLOOKUP(F143,'Price Sheet'!$A:$C,3,FALSE)</f>
        <v>15.99</v>
      </c>
      <c r="J143" s="191"/>
      <c r="K143" s="192">
        <f t="shared" si="13"/>
        <v>15.99</v>
      </c>
      <c r="L143" s="192">
        <f t="shared" si="8"/>
        <v>0</v>
      </c>
      <c r="M143" s="193" t="str">
        <f t="shared" si="11"/>
        <v/>
      </c>
      <c r="N143" s="194" t="str">
        <f t="shared" si="9"/>
        <v>X</v>
      </c>
      <c r="O143" s="194" t="str">
        <f t="shared" si="12"/>
        <v/>
      </c>
      <c r="P143" s="124" t="str">
        <f>INDEX('Pricing (Drugs) SS'!$C:$C,MATCH(F143,'Pricing (Drugs) SS'!$A:$A,0))</f>
        <v>ACTIVE</v>
      </c>
      <c r="Q143" s="124" t="str">
        <f>IF(AND($K$23="Extra DEA Req",S143="X"),"SAFE- CONTROLLED",INDEX('Pricing (Drugs) SS'!$G:$G,MATCH(F143,'Pricing (Drugs) SS'!$A:$A,0)))</f>
        <v>DRUG ROOM</v>
      </c>
      <c r="R143" s="195" t="str">
        <f>INDEX('Pricing (Drugs) SS'!$H:$H,MATCH(F143,'Pricing (Drugs) SS'!$A:$A,0))</f>
        <v>Lethal Injection Drug</v>
      </c>
      <c r="S143" s="124" t="str">
        <f>IF(COUNTIFS('Version and Lists'!$F:$F,F143,'Version and Lists'!$G:$G,$L$22)&gt;0,"X","")</f>
        <v/>
      </c>
    </row>
    <row r="144" spans="1:19" ht="18.75" x14ac:dyDescent="0.3">
      <c r="A144" s="185">
        <f>INDEX('McKesson Formulary Calculator'!$A$12:$A$434,MATCH(F144,'McKesson Formulary Calculator'!$F$12:$F$434,0))</f>
        <v>0</v>
      </c>
      <c r="B144" s="186" t="str">
        <f>INDEX('Pricing (Drugs) SS'!$B:$B,MATCH(F144,'Pricing (Drugs) SS'!$A:$A,0))</f>
        <v>PROCAINAMIDE HYDROCHLORIDE INJ, USP 100mg/mL 10mL SYR</v>
      </c>
      <c r="C144" s="187" t="str">
        <f>INDEX('Pricing (Drugs) SS'!$E:$E,MATCH(F144,'Pricing (Drugs) SS'!$A:$A,0))</f>
        <v>100mg/mL</v>
      </c>
      <c r="D144" s="188" t="str">
        <f>INDEX('Pricing (Drugs) SS'!$F:$F,MATCH(F144,'Pricing (Drugs) SS'!$A:$A,0))</f>
        <v>10mL</v>
      </c>
      <c r="E144" s="188" t="str">
        <f>INDEX('Pricing (Drugs) SS'!$D:$D,MATCH(F144,'Pricing (Drugs) SS'!$A:$A,0))</f>
        <v>76329-3399-5</v>
      </c>
      <c r="F144" s="189">
        <v>1024020</v>
      </c>
      <c r="G144" s="241">
        <f>INDEX('Pricing (Drugs) SS'!$I:$I,MATCH(F144,'Pricing (Drugs) SS'!$A:$A,0))</f>
        <v>85</v>
      </c>
      <c r="H144" s="241">
        <f t="shared" si="10"/>
        <v>0</v>
      </c>
      <c r="I144" s="191">
        <f>VLOOKUP(F144,'Price Sheet'!$A:$C,3,FALSE)</f>
        <v>189</v>
      </c>
      <c r="J144" s="191"/>
      <c r="K144" s="192">
        <f t="shared" si="13"/>
        <v>189</v>
      </c>
      <c r="L144" s="192">
        <f t="shared" si="8"/>
        <v>0</v>
      </c>
      <c r="M144" s="193" t="str">
        <f t="shared" si="11"/>
        <v/>
      </c>
      <c r="N144" s="194" t="str">
        <f t="shared" si="9"/>
        <v/>
      </c>
      <c r="O144" s="194" t="str">
        <f t="shared" si="12"/>
        <v/>
      </c>
      <c r="P144" s="124" t="str">
        <f>INDEX('Pricing (Drugs) SS'!$C:$C,MATCH(F144,'Pricing (Drugs) SS'!$A:$A,0))</f>
        <v>ACTIVE</v>
      </c>
      <c r="Q144" s="124" t="str">
        <f>IF(AND($K$23="Extra DEA Req",S144="X"),"SAFE- CONTROLLED",INDEX('Pricing (Drugs) SS'!$G:$G,MATCH(F144,'Pricing (Drugs) SS'!$A:$A,0)))</f>
        <v>DRUG ROOM</v>
      </c>
      <c r="R144" s="195" t="str">
        <f>INDEX('Pricing (Drugs) SS'!$H:$H,MATCH(F144,'Pricing (Drugs) SS'!$A:$A,0))</f>
        <v>Not on List</v>
      </c>
      <c r="S144" s="124" t="str">
        <f>IF(COUNTIFS('Version and Lists'!$F:$F,F144,'Version and Lists'!$G:$G,$L$22)&gt;0,"X","")</f>
        <v/>
      </c>
    </row>
    <row r="145" spans="1:19" ht="18.75" x14ac:dyDescent="0.3">
      <c r="A145" s="185">
        <f>INDEX('McKesson Formulary Calculator'!$A$12:$A$434,MATCH(F145,'McKesson Formulary Calculator'!$F$12:$F$434,0))</f>
        <v>0</v>
      </c>
      <c r="B145" s="186" t="str">
        <f>INDEX('Pricing (Drugs) SS'!$B:$B,MATCH(F145,'Pricing (Drugs) SS'!$A:$A,0))</f>
        <v>PROMETHAZINE HCI INJECTION, USP 50mg/mL 1mL AMPULE</v>
      </c>
      <c r="C145" s="187" t="str">
        <f>INDEX('Pricing (Drugs) SS'!$E:$E,MATCH(F145,'Pricing (Drugs) SS'!$A:$A,0))</f>
        <v>50mg/mL</v>
      </c>
      <c r="D145" s="188" t="str">
        <f>INDEX('Pricing (Drugs) SS'!$F:$F,MATCH(F145,'Pricing (Drugs) SS'!$A:$A,0))</f>
        <v>1mL</v>
      </c>
      <c r="E145" s="188" t="str">
        <f>INDEX('Pricing (Drugs) SS'!$D:$D,MATCH(F145,'Pricing (Drugs) SS'!$A:$A,0))</f>
        <v>0641-1496-35</v>
      </c>
      <c r="F145" s="189">
        <v>1000510</v>
      </c>
      <c r="G145" s="241">
        <f>INDEX('Pricing (Drugs) SS'!$I:$I,MATCH(F145,'Pricing (Drugs) SS'!$A:$A,0))</f>
        <v>2.0304000000000002</v>
      </c>
      <c r="H145" s="241">
        <f t="shared" si="10"/>
        <v>0</v>
      </c>
      <c r="I145" s="191">
        <f>VLOOKUP(F145,'Price Sheet'!$A:$C,3,FALSE)</f>
        <v>10.75</v>
      </c>
      <c r="J145" s="191"/>
      <c r="K145" s="192">
        <f t="shared" si="13"/>
        <v>10.75</v>
      </c>
      <c r="L145" s="192">
        <f t="shared" si="8"/>
        <v>0</v>
      </c>
      <c r="M145" s="193" t="str">
        <f t="shared" si="11"/>
        <v/>
      </c>
      <c r="N145" s="194" t="str">
        <f t="shared" si="9"/>
        <v/>
      </c>
      <c r="O145" s="194" t="str">
        <f t="shared" si="12"/>
        <v/>
      </c>
      <c r="P145" s="124" t="str">
        <f>INDEX('Pricing (Drugs) SS'!$C:$C,MATCH(F145,'Pricing (Drugs) SS'!$A:$A,0))</f>
        <v>ACTIVE</v>
      </c>
      <c r="Q145" s="124" t="str">
        <f>IF(AND($K$23="Extra DEA Req",S145="X"),"SAFE- CONTROLLED",INDEX('Pricing (Drugs) SS'!$G:$G,MATCH(F145,'Pricing (Drugs) SS'!$A:$A,0)))</f>
        <v>DRUG ROOM</v>
      </c>
      <c r="R145" s="195" t="str">
        <f>INDEX('Pricing (Drugs) SS'!$H:$H,MATCH(F145,'Pricing (Drugs) SS'!$A:$A,0))</f>
        <v>Not on List</v>
      </c>
      <c r="S145" s="124" t="str">
        <f>IF(COUNTIFS('Version and Lists'!$F:$F,F145,'Version and Lists'!$G:$G,$L$22)&gt;0,"X","")</f>
        <v/>
      </c>
    </row>
    <row r="146" spans="1:19" ht="18.75" x14ac:dyDescent="0.3">
      <c r="A146" s="185">
        <f>INDEX('McKesson Formulary Calculator'!$A$12:$A$434,MATCH(F146,'McKesson Formulary Calculator'!$F$12:$F$434,0))</f>
        <v>0</v>
      </c>
      <c r="B146" s="186" t="str">
        <f>INDEX('Pricing (Drugs) SS'!$B:$B,MATCH(F146,'Pricing (Drugs) SS'!$A:$A,0))</f>
        <v>PROMETHAZINE HCI INJECTION, USP 25mg/mL 1mL VIAL</v>
      </c>
      <c r="C146" s="187" t="str">
        <f>INDEX('Pricing (Drugs) SS'!$E:$E,MATCH(F146,'Pricing (Drugs) SS'!$A:$A,0))</f>
        <v>25mg/mL</v>
      </c>
      <c r="D146" s="188" t="str">
        <f>INDEX('Pricing (Drugs) SS'!$F:$F,MATCH(F146,'Pricing (Drugs) SS'!$A:$A,0))</f>
        <v>1mL</v>
      </c>
      <c r="E146" s="188" t="str">
        <f>INDEX('Pricing (Drugs) SS'!$D:$D,MATCH(F146,'Pricing (Drugs) SS'!$A:$A,0))</f>
        <v>0641-0928-25</v>
      </c>
      <c r="F146" s="189">
        <v>1000500</v>
      </c>
      <c r="G146" s="241">
        <f>INDEX('Pricing (Drugs) SS'!$I:$I,MATCH(F146,'Pricing (Drugs) SS'!$A:$A,0))</f>
        <v>1.66</v>
      </c>
      <c r="H146" s="241">
        <f t="shared" si="10"/>
        <v>0</v>
      </c>
      <c r="I146" s="191">
        <f>VLOOKUP(F146,'Price Sheet'!$A:$C,3,FALSE)</f>
        <v>9.9499999999999993</v>
      </c>
      <c r="J146" s="191"/>
      <c r="K146" s="192">
        <f t="shared" ref="K146" si="14">J146+I146</f>
        <v>9.9499999999999993</v>
      </c>
      <c r="L146" s="192">
        <f t="shared" ref="L146" si="15">IFERROR(K146*A146,"")</f>
        <v>0</v>
      </c>
      <c r="M146" s="193" t="str">
        <f t="shared" si="11"/>
        <v/>
      </c>
      <c r="N146" s="194" t="str">
        <f t="shared" si="9"/>
        <v/>
      </c>
      <c r="O146" s="194" t="str">
        <f t="shared" si="12"/>
        <v/>
      </c>
      <c r="P146" s="124" t="str">
        <f>INDEX('Pricing (Drugs) SS'!$C:$C,MATCH(F146,'Pricing (Drugs) SS'!$A:$A,0))</f>
        <v>ACTIVE</v>
      </c>
      <c r="Q146" s="124" t="str">
        <f>IF(AND($K$23="Extra DEA Req",S146="X"),"SAFE- CONTROLLED",INDEX('Pricing (Drugs) SS'!$G:$G,MATCH(F146,'Pricing (Drugs) SS'!$A:$A,0)))</f>
        <v>DRUG ROOM</v>
      </c>
      <c r="R146" s="195" t="str">
        <f>INDEX('Pricing (Drugs) SS'!$H:$H,MATCH(F146,'Pricing (Drugs) SS'!$A:$A,0))</f>
        <v>Not on List</v>
      </c>
      <c r="S146" s="124" t="str">
        <f>IF(COUNTIFS('Version and Lists'!$F:$F,F146,'Version and Lists'!$G:$G,$L$22)&gt;0,"X","")</f>
        <v/>
      </c>
    </row>
    <row r="147" spans="1:19" ht="18.75" x14ac:dyDescent="0.3">
      <c r="A147" s="185">
        <f>INDEX('McKesson Formulary Calculator'!$A$12:$A$434,MATCH(F147,'McKesson Formulary Calculator'!$F$12:$F$434,0))</f>
        <v>0</v>
      </c>
      <c r="B147" s="186" t="str">
        <f>INDEX('Pricing (Drugs) SS'!$B:$B,MATCH(F147,'Pricing (Drugs) SS'!$A:$A,0))</f>
        <v>PROPOFOL INJECTABLE EMULSION 500mg/50mL (10mg/mL) 50mL VIAL</v>
      </c>
      <c r="C147" s="187" t="str">
        <f>INDEX('Pricing (Drugs) SS'!$E:$E,MATCH(F147,'Pricing (Drugs) SS'!$A:$A,0))</f>
        <v>10mg/mL</v>
      </c>
      <c r="D147" s="188" t="str">
        <f>INDEX('Pricing (Drugs) SS'!$F:$F,MATCH(F147,'Pricing (Drugs) SS'!$A:$A,0))</f>
        <v>50mL</v>
      </c>
      <c r="E147" s="188" t="str">
        <f>INDEX('Pricing (Drugs) SS'!$D:$D,MATCH(F147,'Pricing (Drugs) SS'!$A:$A,0))</f>
        <v>0409-4699-33</v>
      </c>
      <c r="F147" s="189">
        <v>1012910</v>
      </c>
      <c r="G147" s="241">
        <f>INDEX('Pricing (Drugs) SS'!$I:$I,MATCH(F147,'Pricing (Drugs) SS'!$A:$A,0))</f>
        <v>4.8250000000000002</v>
      </c>
      <c r="H147" s="241">
        <f t="shared" si="10"/>
        <v>0</v>
      </c>
      <c r="I147" s="191">
        <f>VLOOKUP(F147,'Price Sheet'!$A:$C,3,FALSE)</f>
        <v>39.99</v>
      </c>
      <c r="J147" s="191"/>
      <c r="K147" s="192">
        <f t="shared" si="13"/>
        <v>39.99</v>
      </c>
      <c r="L147" s="192">
        <f t="shared" ref="L147:L168" si="16">IFERROR(K147*A147,"")</f>
        <v>0</v>
      </c>
      <c r="M147" s="193" t="str">
        <f t="shared" si="11"/>
        <v/>
      </c>
      <c r="N147" s="194" t="str">
        <f t="shared" si="9"/>
        <v>X</v>
      </c>
      <c r="O147" s="194" t="str">
        <f t="shared" si="12"/>
        <v/>
      </c>
      <c r="P147" s="124" t="str">
        <f>INDEX('Pricing (Drugs) SS'!$C:$C,MATCH(F147,'Pricing (Drugs) SS'!$A:$A,0))</f>
        <v>RESTRICTED</v>
      </c>
      <c r="Q147" s="124" t="str">
        <f>IF(AND($K$23="Extra DEA Req",S147="X"),"SAFE- CONTROLLED",INDEX('Pricing (Drugs) SS'!$G:$G,MATCH(F147,'Pricing (Drugs) SS'!$A:$A,0)))</f>
        <v>DRUG ROOM</v>
      </c>
      <c r="R147" s="195" t="str">
        <f>INDEX('Pricing (Drugs) SS'!$H:$H,MATCH(F147,'Pricing (Drugs) SS'!$A:$A,0))</f>
        <v>Lethal Injection Drug</v>
      </c>
      <c r="S147" s="124" t="str">
        <f>IF(COUNTIFS('Version and Lists'!$F:$F,F147,'Version and Lists'!$G:$G,$L$22)&gt;0,"X","")</f>
        <v/>
      </c>
    </row>
    <row r="148" spans="1:19" ht="18.75" x14ac:dyDescent="0.3">
      <c r="A148" s="185">
        <f>INDEX('McKesson Formulary Calculator'!$A$12:$A$434,MATCH(F148,'McKesson Formulary Calculator'!$F$12:$F$434,0))</f>
        <v>0</v>
      </c>
      <c r="B148" s="186" t="str">
        <f>INDEX('Pricing (Drugs) SS'!$B:$B,MATCH(F148,'Pricing (Drugs) SS'!$A:$A,0))</f>
        <v>PROPOFOL INJECTABLE EMULSION 1g/100mL (10mg/mL) 100mL VIAL</v>
      </c>
      <c r="C148" s="187" t="str">
        <f>INDEX('Pricing (Drugs) SS'!$E:$E,MATCH(F148,'Pricing (Drugs) SS'!$A:$A,0))</f>
        <v>10mg/mL</v>
      </c>
      <c r="D148" s="188" t="str">
        <f>INDEX('Pricing (Drugs) SS'!$F:$F,MATCH(F148,'Pricing (Drugs) SS'!$A:$A,0))</f>
        <v>100mL</v>
      </c>
      <c r="E148" s="188" t="str">
        <f>INDEX('Pricing (Drugs) SS'!$D:$D,MATCH(F148,'Pricing (Drugs) SS'!$A:$A,0))</f>
        <v>0409-4699-24</v>
      </c>
      <c r="F148" s="189">
        <v>1012900</v>
      </c>
      <c r="G148" s="241">
        <f>INDEX('Pricing (Drugs) SS'!$I:$I,MATCH(F148,'Pricing (Drugs) SS'!$A:$A,0))</f>
        <v>9.65</v>
      </c>
      <c r="H148" s="241">
        <f t="shared" si="10"/>
        <v>0</v>
      </c>
      <c r="I148" s="191">
        <f>VLOOKUP(F148,'Price Sheet'!$A:$C,3,FALSE)</f>
        <v>69.989999999999995</v>
      </c>
      <c r="J148" s="191"/>
      <c r="K148" s="192">
        <f t="shared" si="13"/>
        <v>69.989999999999995</v>
      </c>
      <c r="L148" s="192">
        <f t="shared" si="16"/>
        <v>0</v>
      </c>
      <c r="M148" s="193" t="str">
        <f t="shared" si="11"/>
        <v/>
      </c>
      <c r="N148" s="194" t="str">
        <f t="shared" si="9"/>
        <v>X</v>
      </c>
      <c r="O148" s="194" t="str">
        <f t="shared" si="12"/>
        <v/>
      </c>
      <c r="P148" s="124" t="str">
        <f>INDEX('Pricing (Drugs) SS'!$C:$C,MATCH(F148,'Pricing (Drugs) SS'!$A:$A,0))</f>
        <v>RESTRICTED</v>
      </c>
      <c r="Q148" s="124" t="str">
        <f>IF(AND($K$23="Extra DEA Req",S148="X"),"SAFE- CONTROLLED",INDEX('Pricing (Drugs) SS'!$G:$G,MATCH(F148,'Pricing (Drugs) SS'!$A:$A,0)))</f>
        <v>DRUG ROOM</v>
      </c>
      <c r="R148" s="195" t="str">
        <f>INDEX('Pricing (Drugs) SS'!$H:$H,MATCH(F148,'Pricing (Drugs) SS'!$A:$A,0))</f>
        <v>Lethal Injection Drug</v>
      </c>
      <c r="S148" s="124" t="str">
        <f>IF(COUNTIFS('Version and Lists'!$F:$F,F148,'Version and Lists'!$G:$G,$L$22)&gt;0,"X","")</f>
        <v/>
      </c>
    </row>
    <row r="149" spans="1:19" ht="18.75" x14ac:dyDescent="0.3">
      <c r="A149" s="185">
        <f>INDEX('McKesson Formulary Calculator'!$A$12:$A$434,MATCH(F149,'McKesson Formulary Calculator'!$F$12:$F$434,0))</f>
        <v>0</v>
      </c>
      <c r="B149" s="186" t="str">
        <f>INDEX('Pricing (Drugs) SS'!$B:$B,MATCH(F149,'Pricing (Drugs) SS'!$A:$A,0))</f>
        <v>SODIUM BICARBONATE INJECTION USP, 8.4% 50mEq/50mL (1mEq/mL) 50mL VIAL</v>
      </c>
      <c r="C149" s="187" t="str">
        <f>INDEX('Pricing (Drugs) SS'!$E:$E,MATCH(F149,'Pricing (Drugs) SS'!$A:$A,0))</f>
        <v>1mEq/mL</v>
      </c>
      <c r="D149" s="188" t="str">
        <f>INDEX('Pricing (Drugs) SS'!$F:$F,MATCH(F149,'Pricing (Drugs) SS'!$A:$A,0))</f>
        <v>50mL</v>
      </c>
      <c r="E149" s="188" t="str">
        <f>INDEX('Pricing (Drugs) SS'!$D:$D,MATCH(F149,'Pricing (Drugs) SS'!$A:$A,0))</f>
        <v>0409-6625-14</v>
      </c>
      <c r="F149" s="189">
        <v>1000590</v>
      </c>
      <c r="G149" s="241">
        <f>INDEX('Pricing (Drugs) SS'!$I:$I,MATCH(F149,'Pricing (Drugs) SS'!$A:$A,0))</f>
        <v>9.8336000000000006</v>
      </c>
      <c r="H149" s="241">
        <f t="shared" si="10"/>
        <v>0</v>
      </c>
      <c r="I149" s="191">
        <f>VLOOKUP(F149,'Price Sheet'!$A:$C,3,FALSE)</f>
        <v>49.99</v>
      </c>
      <c r="J149" s="191"/>
      <c r="K149" s="192">
        <f t="shared" si="13"/>
        <v>49.99</v>
      </c>
      <c r="L149" s="192">
        <f t="shared" si="16"/>
        <v>0</v>
      </c>
      <c r="M149" s="193" t="str">
        <f t="shared" si="11"/>
        <v/>
      </c>
      <c r="N149" s="194" t="str">
        <f t="shared" si="9"/>
        <v/>
      </c>
      <c r="O149" s="194" t="str">
        <f t="shared" si="12"/>
        <v/>
      </c>
      <c r="P149" s="124" t="str">
        <f>INDEX('Pricing (Drugs) SS'!$C:$C,MATCH(F149,'Pricing (Drugs) SS'!$A:$A,0))</f>
        <v>ACTIVE</v>
      </c>
      <c r="Q149" s="124" t="str">
        <f>IF(AND($K$23="Extra DEA Req",S149="X"),"SAFE- CONTROLLED",INDEX('Pricing (Drugs) SS'!$G:$G,MATCH(F149,'Pricing (Drugs) SS'!$A:$A,0)))</f>
        <v>DRUG ROOM</v>
      </c>
      <c r="R149" s="195" t="str">
        <f>INDEX('Pricing (Drugs) SS'!$H:$H,MATCH(F149,'Pricing (Drugs) SS'!$A:$A,0))</f>
        <v>Not on List</v>
      </c>
      <c r="S149" s="124" t="str">
        <f>IF(COUNTIFS('Version and Lists'!$F:$F,F149,'Version and Lists'!$G:$G,$L$22)&gt;0,"X","")</f>
        <v/>
      </c>
    </row>
    <row r="150" spans="1:19" ht="18.75" x14ac:dyDescent="0.3">
      <c r="A150" s="185">
        <f>INDEX('McKesson Formulary Calculator'!$A$12:$A$434,MATCH(F150,'McKesson Formulary Calculator'!$F$12:$F$434,0))</f>
        <v>0</v>
      </c>
      <c r="B150" s="186" t="str">
        <f>INDEX('Pricing (Drugs) SS'!$B:$B,MATCH(F150,'Pricing (Drugs) SS'!$A:$A,0))</f>
        <v>4.2% SODIUM BICARBONATE INJECTION, USP 5mEq/10mL (0.5 mEq/mL) 10mL SYR</v>
      </c>
      <c r="C150" s="187" t="str">
        <f>INDEX('Pricing (Drugs) SS'!$E:$E,MATCH(F150,'Pricing (Drugs) SS'!$A:$A,0))</f>
        <v>0.5 mEq/mL</v>
      </c>
      <c r="D150" s="188" t="str">
        <f>INDEX('Pricing (Drugs) SS'!$F:$F,MATCH(F150,'Pricing (Drugs) SS'!$A:$A,0))</f>
        <v>10mL</v>
      </c>
      <c r="E150" s="188" t="str">
        <f>INDEX('Pricing (Drugs) SS'!$D:$D,MATCH(F150,'Pricing (Drugs) SS'!$A:$A,0))</f>
        <v>0409-5534-14</v>
      </c>
      <c r="F150" s="189">
        <v>1009340</v>
      </c>
      <c r="G150" s="241">
        <f>INDEX('Pricing (Drugs) SS'!$I:$I,MATCH(F150,'Pricing (Drugs) SS'!$A:$A,0))</f>
        <v>20.079999999999998</v>
      </c>
      <c r="H150" s="241">
        <f t="shared" si="10"/>
        <v>0</v>
      </c>
      <c r="I150" s="191">
        <f>VLOOKUP(F150,'Price Sheet'!$A:$C,3,FALSE)</f>
        <v>56.97</v>
      </c>
      <c r="J150" s="191"/>
      <c r="K150" s="192">
        <f t="shared" si="13"/>
        <v>56.97</v>
      </c>
      <c r="L150" s="192">
        <f t="shared" si="16"/>
        <v>0</v>
      </c>
      <c r="M150" s="193" t="str">
        <f t="shared" si="11"/>
        <v/>
      </c>
      <c r="N150" s="194" t="str">
        <f t="shared" si="9"/>
        <v/>
      </c>
      <c r="O150" s="194" t="str">
        <f t="shared" si="12"/>
        <v/>
      </c>
      <c r="P150" s="124" t="str">
        <f>INDEX('Pricing (Drugs) SS'!$C:$C,MATCH(F150,'Pricing (Drugs) SS'!$A:$A,0))</f>
        <v>ACTIVE</v>
      </c>
      <c r="Q150" s="124" t="str">
        <f>IF(AND($K$23="Extra DEA Req",S150="X"),"SAFE- CONTROLLED",INDEX('Pricing (Drugs) SS'!$G:$G,MATCH(F150,'Pricing (Drugs) SS'!$A:$A,0)))</f>
        <v>DRUG ROOM</v>
      </c>
      <c r="R150" s="195" t="str">
        <f>INDEX('Pricing (Drugs) SS'!$H:$H,MATCH(F150,'Pricing (Drugs) SS'!$A:$A,0))</f>
        <v>Not on List</v>
      </c>
      <c r="S150" s="124" t="str">
        <f>IF(COUNTIFS('Version and Lists'!$F:$F,F150,'Version and Lists'!$G:$G,$L$22)&gt;0,"X","")</f>
        <v/>
      </c>
    </row>
    <row r="151" spans="1:19" ht="18.75" x14ac:dyDescent="0.3">
      <c r="A151" s="185">
        <f>INDEX('McKesson Formulary Calculator'!$A$12:$A$434,MATCH(F151,'McKesson Formulary Calculator'!$F$12:$F$434,0))</f>
        <v>0</v>
      </c>
      <c r="B151" s="186" t="str">
        <f>INDEX('Pricing (Drugs) SS'!$B:$B,MATCH(F151,'Pricing (Drugs) SS'!$A:$A,0))</f>
        <v>SODIUM BICARBONATE INJECTION USP, 8.4% 50 mEq/50 mL (1 mEq/mL) LUER-JET™ SYR</v>
      </c>
      <c r="C151" s="187" t="str">
        <f>INDEX('Pricing (Drugs) SS'!$E:$E,MATCH(F151,'Pricing (Drugs) SS'!$A:$A,0))</f>
        <v>84mg/1mL</v>
      </c>
      <c r="D151" s="188" t="str">
        <f>INDEX('Pricing (Drugs) SS'!$F:$F,MATCH(F151,'Pricing (Drugs) SS'!$A:$A,0))</f>
        <v>50 mL</v>
      </c>
      <c r="E151" s="188" t="str">
        <f>INDEX('Pricing (Drugs) SS'!$D:$D,MATCH(F151,'Pricing (Drugs) SS'!$A:$A,0))</f>
        <v>76329-3352-1</v>
      </c>
      <c r="F151" s="189">
        <v>1012410</v>
      </c>
      <c r="G151" s="241">
        <f>INDEX('Pricing (Drugs) SS'!$I:$I,MATCH(F151,'Pricing (Drugs) SS'!$A:$A,0))</f>
        <v>21.64</v>
      </c>
      <c r="H151" s="241">
        <f t="shared" si="10"/>
        <v>0</v>
      </c>
      <c r="I151" s="191">
        <f>VLOOKUP(F151,'Price Sheet'!$A:$C,3,FALSE)</f>
        <v>63.97</v>
      </c>
      <c r="J151" s="191"/>
      <c r="K151" s="192">
        <f t="shared" si="13"/>
        <v>63.97</v>
      </c>
      <c r="L151" s="192">
        <f t="shared" si="16"/>
        <v>0</v>
      </c>
      <c r="M151" s="193" t="str">
        <f t="shared" si="11"/>
        <v/>
      </c>
      <c r="N151" s="194" t="str">
        <f t="shared" si="9"/>
        <v/>
      </c>
      <c r="O151" s="194" t="str">
        <f t="shared" si="12"/>
        <v/>
      </c>
      <c r="P151" s="124" t="str">
        <f>INDEX('Pricing (Drugs) SS'!$C:$C,MATCH(F151,'Pricing (Drugs) SS'!$A:$A,0))</f>
        <v>ACTIVE</v>
      </c>
      <c r="Q151" s="124" t="str">
        <f>IF(AND($K$23="Extra DEA Req",S151="X"),"SAFE- CONTROLLED",INDEX('Pricing (Drugs) SS'!$G:$G,MATCH(F151,'Pricing (Drugs) SS'!$A:$A,0)))</f>
        <v>DRUG ROOM</v>
      </c>
      <c r="R151" s="195" t="str">
        <f>INDEX('Pricing (Drugs) SS'!$H:$H,MATCH(F151,'Pricing (Drugs) SS'!$A:$A,0))</f>
        <v>Not on List</v>
      </c>
      <c r="S151" s="124" t="str">
        <f>IF(COUNTIFS('Version and Lists'!$F:$F,F151,'Version and Lists'!$G:$G,$L$22)&gt;0,"X","")</f>
        <v/>
      </c>
    </row>
    <row r="152" spans="1:19" ht="18.75" x14ac:dyDescent="0.3">
      <c r="A152" s="185">
        <f>INDEX('McKesson Formulary Calculator'!$A$12:$A$434,MATCH(F152,'McKesson Formulary Calculator'!$F$12:$F$434,0))</f>
        <v>0</v>
      </c>
      <c r="B152" s="186" t="str">
        <f>INDEX('Pricing (Drugs) SS'!$B:$B,MATCH(F152,'Pricing (Drugs) SS'!$A:$A,0))</f>
        <v>0.9% SODIUM CHLORIDE INJECTION USP ZR(TM) 10mL SYR</v>
      </c>
      <c r="C152" s="187">
        <f>INDEX('Pricing (Drugs) SS'!$E:$E,MATCH(F152,'Pricing (Drugs) SS'!$A:$A,0))</f>
        <v>8.9999999999999993E-3</v>
      </c>
      <c r="D152" s="188" t="str">
        <f>INDEX('Pricing (Drugs) SS'!$F:$F,MATCH(F152,'Pricing (Drugs) SS'!$A:$A,0))</f>
        <v>10mL</v>
      </c>
      <c r="E152" s="188" t="str">
        <f>INDEX('Pricing (Drugs) SS'!$D:$D,MATCH(F152,'Pricing (Drugs) SS'!$A:$A,0))</f>
        <v>63807-0100-10</v>
      </c>
      <c r="F152" s="189">
        <v>1009330</v>
      </c>
      <c r="G152" s="241">
        <f>INDEX('Pricing (Drugs) SS'!$I:$I,MATCH(F152,'Pricing (Drugs) SS'!$A:$A,0))</f>
        <v>0.47570000000000001</v>
      </c>
      <c r="H152" s="241">
        <f t="shared" si="10"/>
        <v>0</v>
      </c>
      <c r="I152" s="191">
        <f>VLOOKUP(F152,'Price Sheet'!$A:$C,3,FALSE)</f>
        <v>3.67</v>
      </c>
      <c r="J152" s="191"/>
      <c r="K152" s="192">
        <f t="shared" si="13"/>
        <v>3.67</v>
      </c>
      <c r="L152" s="192">
        <f t="shared" si="16"/>
        <v>0</v>
      </c>
      <c r="M152" s="193" t="str">
        <f t="shared" si="11"/>
        <v/>
      </c>
      <c r="N152" s="194" t="str">
        <f t="shared" si="9"/>
        <v/>
      </c>
      <c r="O152" s="194" t="str">
        <f t="shared" si="12"/>
        <v/>
      </c>
      <c r="P152" s="124" t="str">
        <f>INDEX('Pricing (Drugs) SS'!$C:$C,MATCH(F152,'Pricing (Drugs) SS'!$A:$A,0))</f>
        <v>ACTIVE</v>
      </c>
      <c r="Q152" s="124" t="str">
        <f>IF(AND($K$23="Extra DEA Req",S152="X"),"SAFE- CONTROLLED",INDEX('Pricing (Drugs) SS'!$G:$G,MATCH(F152,'Pricing (Drugs) SS'!$A:$A,0)))</f>
        <v>DRUG ROOM</v>
      </c>
      <c r="R152" s="195" t="str">
        <f>INDEX('Pricing (Drugs) SS'!$H:$H,MATCH(F152,'Pricing (Drugs) SS'!$A:$A,0))</f>
        <v>Not on List</v>
      </c>
      <c r="S152" s="124" t="str">
        <f>IF(COUNTIFS('Version and Lists'!$F:$F,F152,'Version and Lists'!$G:$G,$L$22)&gt;0,"X","")</f>
        <v/>
      </c>
    </row>
    <row r="153" spans="1:19" ht="18.75" x14ac:dyDescent="0.3">
      <c r="A153" s="185">
        <f>INDEX('McKesson Formulary Calculator'!$A$12:$A$434,MATCH(F153,'McKesson Formulary Calculator'!$F$12:$F$434,0))</f>
        <v>0</v>
      </c>
      <c r="B153" s="186" t="str">
        <f>INDEX('Pricing (Drugs) SS'!$B:$B,MATCH(F153,'Pricing (Drugs) SS'!$A:$A,0))</f>
        <v>0.9% SODIUM CHLORIDE INJECTION, USP 100mL BAG</v>
      </c>
      <c r="C153" s="187" t="str">
        <f>INDEX('Pricing (Drugs) SS'!$E:$E,MATCH(F153,'Pricing (Drugs) SS'!$A:$A,0))</f>
        <v>0.9% PER 100mL</v>
      </c>
      <c r="D153" s="188" t="str">
        <f>INDEX('Pricing (Drugs) SS'!$F:$F,MATCH(F153,'Pricing (Drugs) SS'!$A:$A,0))</f>
        <v>100mL</v>
      </c>
      <c r="E153" s="188" t="str">
        <f>INDEX('Pricing (Drugs) SS'!$D:$D,MATCH(F153,'Pricing (Drugs) SS'!$A:$A,0))</f>
        <v>0990-7984-23</v>
      </c>
      <c r="F153" s="189">
        <v>1014200</v>
      </c>
      <c r="G153" s="241">
        <f>INDEX('Pricing (Drugs) SS'!$I:$I,MATCH(F153,'Pricing (Drugs) SS'!$A:$A,0))</f>
        <v>2.31</v>
      </c>
      <c r="H153" s="241">
        <f t="shared" si="10"/>
        <v>0</v>
      </c>
      <c r="I153" s="191">
        <f>VLOOKUP(F153,'Price Sheet'!$A:$C,3,FALSE)</f>
        <v>9.16</v>
      </c>
      <c r="J153" s="191"/>
      <c r="K153" s="192">
        <f t="shared" si="13"/>
        <v>9.16</v>
      </c>
      <c r="L153" s="192">
        <f t="shared" si="16"/>
        <v>0</v>
      </c>
      <c r="M153" s="193" t="str">
        <f t="shared" si="11"/>
        <v/>
      </c>
      <c r="N153" s="194" t="str">
        <f t="shared" si="9"/>
        <v/>
      </c>
      <c r="O153" s="194" t="str">
        <f t="shared" si="12"/>
        <v/>
      </c>
      <c r="P153" s="124" t="str">
        <f>INDEX('Pricing (Drugs) SS'!$C:$C,MATCH(F153,'Pricing (Drugs) SS'!$A:$A,0))</f>
        <v>ACTIVE</v>
      </c>
      <c r="Q153" s="124" t="str">
        <f>IF(AND($K$23="Extra DEA Req",S153="X"),"SAFE- CONTROLLED",INDEX('Pricing (Drugs) SS'!$G:$G,MATCH(F153,'Pricing (Drugs) SS'!$A:$A,0)))</f>
        <v>DRUG ROOM</v>
      </c>
      <c r="R153" s="195" t="str">
        <f>INDEX('Pricing (Drugs) SS'!$H:$H,MATCH(F153,'Pricing (Drugs) SS'!$A:$A,0))</f>
        <v>Not on List</v>
      </c>
      <c r="S153" s="124" t="str">
        <f>IF(COUNTIFS('Version and Lists'!$F:$F,F153,'Version and Lists'!$G:$G,$L$22)&gt;0,"X","")</f>
        <v/>
      </c>
    </row>
    <row r="154" spans="1:19" ht="18.75" x14ac:dyDescent="0.3">
      <c r="A154" s="185">
        <f>INDEX('McKesson Formulary Calculator'!$A$12:$A$434,MATCH(F154,'McKesson Formulary Calculator'!$F$12:$F$434,0))</f>
        <v>0</v>
      </c>
      <c r="B154" s="186" t="str">
        <f>INDEX('Pricing (Drugs) SS'!$B:$B,MATCH(F154,'Pricing (Drugs) SS'!$A:$A,0))</f>
        <v>0.9% SODIUM CHLORIDE INJECTION, USP 250mL BAG</v>
      </c>
      <c r="C154" s="187">
        <f>INDEX('Pricing (Drugs) SS'!$E:$E,MATCH(F154,'Pricing (Drugs) SS'!$A:$A,0))</f>
        <v>8.9999999999999993E-3</v>
      </c>
      <c r="D154" s="188" t="str">
        <f>INDEX('Pricing (Drugs) SS'!$F:$F,MATCH(F154,'Pricing (Drugs) SS'!$A:$A,0))</f>
        <v>250mL</v>
      </c>
      <c r="E154" s="188" t="str">
        <f>INDEX('Pricing (Drugs) SS'!$D:$D,MATCH(F154,'Pricing (Drugs) SS'!$A:$A,0))</f>
        <v>0990-7983-02</v>
      </c>
      <c r="F154" s="189">
        <v>1013880</v>
      </c>
      <c r="G154" s="241">
        <f>INDEX('Pricing (Drugs) SS'!$I:$I,MATCH(F154,'Pricing (Drugs) SS'!$A:$A,0))</f>
        <v>2.75</v>
      </c>
      <c r="H154" s="241">
        <f t="shared" si="10"/>
        <v>0</v>
      </c>
      <c r="I154" s="191">
        <f>VLOOKUP(F154,'Price Sheet'!$A:$C,3,FALSE)</f>
        <v>17.95</v>
      </c>
      <c r="J154" s="191"/>
      <c r="K154" s="192">
        <f t="shared" si="13"/>
        <v>17.95</v>
      </c>
      <c r="L154" s="192">
        <f t="shared" si="16"/>
        <v>0</v>
      </c>
      <c r="M154" s="193" t="str">
        <f t="shared" si="11"/>
        <v/>
      </c>
      <c r="N154" s="194" t="str">
        <f t="shared" si="9"/>
        <v/>
      </c>
      <c r="O154" s="194" t="str">
        <f t="shared" si="12"/>
        <v/>
      </c>
      <c r="P154" s="124" t="str">
        <f>INDEX('Pricing (Drugs) SS'!$C:$C,MATCH(F154,'Pricing (Drugs) SS'!$A:$A,0))</f>
        <v>ACTIVE</v>
      </c>
      <c r="Q154" s="124" t="str">
        <f>IF(AND($K$23="Extra DEA Req",S154="X"),"SAFE- CONTROLLED",INDEX('Pricing (Drugs) SS'!$G:$G,MATCH(F154,'Pricing (Drugs) SS'!$A:$A,0)))</f>
        <v>DRUG ROOM</v>
      </c>
      <c r="R154" s="195" t="str">
        <f>INDEX('Pricing (Drugs) SS'!$H:$H,MATCH(F154,'Pricing (Drugs) SS'!$A:$A,0))</f>
        <v>Not on List</v>
      </c>
      <c r="S154" s="124" t="str">
        <f>IF(COUNTIFS('Version and Lists'!$F:$F,F154,'Version and Lists'!$G:$G,$L$22)&gt;0,"X","")</f>
        <v/>
      </c>
    </row>
    <row r="155" spans="1:19" ht="18.75" x14ac:dyDescent="0.3">
      <c r="A155" s="185">
        <f>INDEX('McKesson Formulary Calculator'!$A$12:$A$434,MATCH(F155,'McKesson Formulary Calculator'!$F$12:$F$434,0))</f>
        <v>0</v>
      </c>
      <c r="B155" s="186" t="str">
        <f>INDEX('Pricing (Drugs) SS'!$B:$B,MATCH(F155,'Pricing (Drugs) SS'!$A:$A,0))</f>
        <v>0.9% SODIUM CHLORIDE INJECTION, USP 500mL BAG</v>
      </c>
      <c r="C155" s="187" t="str">
        <f>INDEX('Pricing (Drugs) SS'!$E:$E,MATCH(F155,'Pricing (Drugs) SS'!$A:$A,0))</f>
        <v>0.9% 500mL</v>
      </c>
      <c r="D155" s="188" t="str">
        <f>INDEX('Pricing (Drugs) SS'!$F:$F,MATCH(F155,'Pricing (Drugs) SS'!$A:$A,0))</f>
        <v>500mL</v>
      </c>
      <c r="E155" s="188" t="str">
        <f>INDEX('Pricing (Drugs) SS'!$D:$D,MATCH(F155,'Pricing (Drugs) SS'!$A:$A,0))</f>
        <v>0990-7983-55</v>
      </c>
      <c r="F155" s="189">
        <v>1014510</v>
      </c>
      <c r="G155" s="241">
        <f>INDEX('Pricing (Drugs) SS'!$I:$I,MATCH(F155,'Pricing (Drugs) SS'!$A:$A,0))</f>
        <v>4.67</v>
      </c>
      <c r="H155" s="241">
        <f t="shared" si="10"/>
        <v>0</v>
      </c>
      <c r="I155" s="191">
        <f>VLOOKUP(F155,'Price Sheet'!$A:$C,3,FALSE)</f>
        <v>24.95</v>
      </c>
      <c r="J155" s="191"/>
      <c r="K155" s="192">
        <f t="shared" si="13"/>
        <v>24.95</v>
      </c>
      <c r="L155" s="192">
        <f t="shared" si="16"/>
        <v>0</v>
      </c>
      <c r="M155" s="193" t="str">
        <f t="shared" si="11"/>
        <v/>
      </c>
      <c r="N155" s="194" t="str">
        <f t="shared" si="9"/>
        <v/>
      </c>
      <c r="O155" s="194" t="str">
        <f t="shared" si="12"/>
        <v/>
      </c>
      <c r="P155" s="124" t="str">
        <f>INDEX('Pricing (Drugs) SS'!$C:$C,MATCH(F155,'Pricing (Drugs) SS'!$A:$A,0))</f>
        <v>ACTIVE</v>
      </c>
      <c r="Q155" s="124" t="str">
        <f>IF(AND($K$23="Extra DEA Req",S155="X"),"SAFE- CONTROLLED",INDEX('Pricing (Drugs) SS'!$G:$G,MATCH(F155,'Pricing (Drugs) SS'!$A:$A,0)))</f>
        <v>DRUG ROOM</v>
      </c>
      <c r="R155" s="195" t="str">
        <f>INDEX('Pricing (Drugs) SS'!$H:$H,MATCH(F155,'Pricing (Drugs) SS'!$A:$A,0))</f>
        <v>Not on List</v>
      </c>
      <c r="S155" s="124" t="str">
        <f>IF(COUNTIFS('Version and Lists'!$F:$F,F155,'Version and Lists'!$G:$G,$L$22)&gt;0,"X","")</f>
        <v/>
      </c>
    </row>
    <row r="156" spans="1:19" ht="18.75" x14ac:dyDescent="0.3">
      <c r="A156" s="185">
        <f>INDEX('McKesson Formulary Calculator'!$A$12:$A$434,MATCH(F156,'McKesson Formulary Calculator'!$F$12:$F$434,0))</f>
        <v>0</v>
      </c>
      <c r="B156" s="186" t="str">
        <f>INDEX('Pricing (Drugs) SS'!$B:$B,MATCH(F156,'Pricing (Drugs) SS'!$A:$A,0))</f>
        <v>0.9% SODIUM CHLORIDE INJECTION, USP 1000mL BAG</v>
      </c>
      <c r="C156" s="187">
        <f>INDEX('Pricing (Drugs) SS'!$E:$E,MATCH(F156,'Pricing (Drugs) SS'!$A:$A,0))</f>
        <v>8.9999999999999993E-3</v>
      </c>
      <c r="D156" s="188" t="str">
        <f>INDEX('Pricing (Drugs) SS'!$F:$F,MATCH(F156,'Pricing (Drugs) SS'!$A:$A,0))</f>
        <v>1000mL</v>
      </c>
      <c r="E156" s="188" t="str">
        <f>INDEX('Pricing (Drugs) SS'!$D:$D,MATCH(F156,'Pricing (Drugs) SS'!$A:$A,0))</f>
        <v>0990-7983-09</v>
      </c>
      <c r="F156" s="189">
        <v>1013890</v>
      </c>
      <c r="G156" s="241">
        <f>INDEX('Pricing (Drugs) SS'!$I:$I,MATCH(F156,'Pricing (Drugs) SS'!$A:$A,0))</f>
        <v>3.25</v>
      </c>
      <c r="H156" s="241">
        <f t="shared" si="10"/>
        <v>0</v>
      </c>
      <c r="I156" s="191">
        <f>VLOOKUP(F156,'Price Sheet'!$A:$C,3,FALSE)</f>
        <v>21.95</v>
      </c>
      <c r="J156" s="191"/>
      <c r="K156" s="192">
        <f t="shared" si="13"/>
        <v>21.95</v>
      </c>
      <c r="L156" s="192">
        <f t="shared" si="16"/>
        <v>0</v>
      </c>
      <c r="M156" s="193" t="str">
        <f t="shared" si="11"/>
        <v/>
      </c>
      <c r="N156" s="194" t="str">
        <f t="shared" si="9"/>
        <v/>
      </c>
      <c r="O156" s="194" t="str">
        <f t="shared" si="12"/>
        <v/>
      </c>
      <c r="P156" s="124" t="str">
        <f>INDEX('Pricing (Drugs) SS'!$C:$C,MATCH(F156,'Pricing (Drugs) SS'!$A:$A,0))</f>
        <v>ACTIVE</v>
      </c>
      <c r="Q156" s="124" t="str">
        <f>IF(AND($K$23="Extra DEA Req",S156="X"),"SAFE- CONTROLLED",INDEX('Pricing (Drugs) SS'!$G:$G,MATCH(F156,'Pricing (Drugs) SS'!$A:$A,0)))</f>
        <v>DRUG ROOM</v>
      </c>
      <c r="R156" s="195" t="str">
        <f>INDEX('Pricing (Drugs) SS'!$H:$H,MATCH(F156,'Pricing (Drugs) SS'!$A:$A,0))</f>
        <v>Not on List</v>
      </c>
      <c r="S156" s="124" t="str">
        <f>IF(COUNTIFS('Version and Lists'!$F:$F,F156,'Version and Lists'!$G:$G,$L$22)&gt;0,"X","")</f>
        <v/>
      </c>
    </row>
    <row r="157" spans="1:19" ht="18.75" x14ac:dyDescent="0.3">
      <c r="A157" s="185">
        <f>INDEX('McKesson Formulary Calculator'!$A$12:$A$434,MATCH(F157,'McKesson Formulary Calculator'!$F$12:$F$434,0))</f>
        <v>0</v>
      </c>
      <c r="B157" s="186" t="str">
        <f>INDEX('Pricing (Drugs) SS'!$B:$B,MATCH(F157,'Pricing (Drugs) SS'!$A:$A,0))</f>
        <v>SUCCINYLCHOLINE CHLORIDE INJECTION, USP 200mg/10mL (20mg/mL) 10mL VIAL</v>
      </c>
      <c r="C157" s="187" t="str">
        <f>INDEX('Pricing (Drugs) SS'!$E:$E,MATCH(F157,'Pricing (Drugs) SS'!$A:$A,0))</f>
        <v>20mg/mL</v>
      </c>
      <c r="D157" s="188" t="str">
        <f>INDEX('Pricing (Drugs) SS'!$F:$F,MATCH(F157,'Pricing (Drugs) SS'!$A:$A,0))</f>
        <v>10mL</v>
      </c>
      <c r="E157" s="188" t="str">
        <f>INDEX('Pricing (Drugs) SS'!$D:$D,MATCH(F157,'Pricing (Drugs) SS'!$A:$A,0))</f>
        <v>43598-666-25</v>
      </c>
      <c r="F157" s="189">
        <v>1015360</v>
      </c>
      <c r="G157" s="241">
        <f>INDEX('Pricing (Drugs) SS'!$I:$I,MATCH(F157,'Pricing (Drugs) SS'!$A:$A,0))</f>
        <v>3.5731999999999999</v>
      </c>
      <c r="H157" s="241">
        <f t="shared" si="10"/>
        <v>0</v>
      </c>
      <c r="I157" s="191">
        <f>VLOOKUP(F157,'Price Sheet'!$A:$C,3,FALSE)</f>
        <v>75.989999999999995</v>
      </c>
      <c r="J157" s="191"/>
      <c r="K157" s="192">
        <f t="shared" si="13"/>
        <v>75.989999999999995</v>
      </c>
      <c r="L157" s="192">
        <f t="shared" si="16"/>
        <v>0</v>
      </c>
      <c r="M157" s="193" t="str">
        <f t="shared" si="11"/>
        <v>C</v>
      </c>
      <c r="N157" s="194" t="str">
        <f t="shared" si="9"/>
        <v>X</v>
      </c>
      <c r="O157" s="194" t="str">
        <f t="shared" si="12"/>
        <v/>
      </c>
      <c r="P157" s="124" t="str">
        <f>INDEX('Pricing (Drugs) SS'!$C:$C,MATCH(F157,'Pricing (Drugs) SS'!$A:$A,0))</f>
        <v>RESTRICTED</v>
      </c>
      <c r="Q157" s="124" t="str">
        <f>IF(AND($K$23="Extra DEA Req",S157="X"),"SAFE- CONTROLLED",INDEX('Pricing (Drugs) SS'!$G:$G,MATCH(F157,'Pricing (Drugs) SS'!$A:$A,0)))</f>
        <v>REFRIGERATED</v>
      </c>
      <c r="R157" s="195" t="str">
        <f>INDEX('Pricing (Drugs) SS'!$H:$H,MATCH(F157,'Pricing (Drugs) SS'!$A:$A,0))</f>
        <v>Lethal Injection Drug</v>
      </c>
      <c r="S157" s="124" t="str">
        <f>IF(COUNTIFS('Version and Lists'!$F:$F,F157,'Version and Lists'!$G:$G,$L$22)&gt;0,"X","")</f>
        <v/>
      </c>
    </row>
    <row r="158" spans="1:19" ht="18.75" x14ac:dyDescent="0.3">
      <c r="A158" s="185">
        <f>INDEX('McKesson Formulary Calculator'!$A$12:$A$434,MATCH(F158,'McKesson Formulary Calculator'!$F$12:$F$434,0))</f>
        <v>0</v>
      </c>
      <c r="B158" s="186" t="str">
        <f>INDEX('Pricing (Drugs) SS'!$B:$B,MATCH(F158,'Pricing (Drugs) SS'!$A:$A,0))</f>
        <v>ROCURONIUM BROMIDE INJECTION, 50mg PER 5mL (10mg/mL) 5mL VIAL</v>
      </c>
      <c r="C158" s="187" t="str">
        <f>INDEX('Pricing (Drugs) SS'!$E:$E,MATCH(F158,'Pricing (Drugs) SS'!$A:$A,0))</f>
        <v>10mg/mL</v>
      </c>
      <c r="D158" s="188" t="str">
        <f>INDEX('Pricing (Drugs) SS'!$F:$F,MATCH(F158,'Pricing (Drugs) SS'!$A:$A,0))</f>
        <v>5mL</v>
      </c>
      <c r="E158" s="188" t="str">
        <f>INDEX('Pricing (Drugs) SS'!$D:$D,MATCH(F158,'Pricing (Drugs) SS'!$A:$A,0))</f>
        <v>55150-225-05</v>
      </c>
      <c r="F158" s="189">
        <v>1016210</v>
      </c>
      <c r="G158" s="241">
        <f>INDEX('Pricing (Drugs) SS'!$I:$I,MATCH(F158,'Pricing (Drugs) SS'!$A:$A,0))</f>
        <v>1.6</v>
      </c>
      <c r="H158" s="241">
        <f t="shared" si="10"/>
        <v>0</v>
      </c>
      <c r="I158" s="191">
        <f>VLOOKUP(F158,'Price Sheet'!$A:$C,3,FALSE)</f>
        <v>29.99</v>
      </c>
      <c r="J158" s="191"/>
      <c r="K158" s="192">
        <f t="shared" si="13"/>
        <v>29.99</v>
      </c>
      <c r="L158" s="192">
        <f t="shared" si="16"/>
        <v>0</v>
      </c>
      <c r="M158" s="193" t="str">
        <f t="shared" si="11"/>
        <v>C</v>
      </c>
      <c r="N158" s="194" t="str">
        <f t="shared" si="9"/>
        <v>X</v>
      </c>
      <c r="O158" s="194" t="str">
        <f t="shared" si="12"/>
        <v/>
      </c>
      <c r="P158" s="124" t="str">
        <f>INDEX('Pricing (Drugs) SS'!$C:$C,MATCH(F158,'Pricing (Drugs) SS'!$A:$A,0))</f>
        <v>RESTRICTED</v>
      </c>
      <c r="Q158" s="124" t="str">
        <f>IF(AND($K$23="Extra DEA Req",S158="X"),"SAFE- CONTROLLED",INDEX('Pricing (Drugs) SS'!$G:$G,MATCH(F158,'Pricing (Drugs) SS'!$A:$A,0)))</f>
        <v>REFRIGERATED</v>
      </c>
      <c r="R158" s="195" t="str">
        <f>INDEX('Pricing (Drugs) SS'!$H:$H,MATCH(F158,'Pricing (Drugs) SS'!$A:$A,0))</f>
        <v>Lethal Injection Drug</v>
      </c>
      <c r="S158" s="124" t="str">
        <f>IF(COUNTIFS('Version and Lists'!$F:$F,F158,'Version and Lists'!$G:$G,$L$22)&gt;0,"X","")</f>
        <v/>
      </c>
    </row>
    <row r="159" spans="1:19" ht="18.75" x14ac:dyDescent="0.3">
      <c r="A159" s="185">
        <f>INDEX('McKesson Formulary Calculator'!$A$12:$A$434,MATCH(F159,'McKesson Formulary Calculator'!$F$12:$F$434,0))</f>
        <v>0</v>
      </c>
      <c r="B159" s="186" t="str">
        <f>INDEX('Pricing (Drugs) SS'!$B:$B,MATCH(F159,'Pricing (Drugs) SS'!$A:$A,0))</f>
        <v>ROCURONIUM BROMIDE INJECTION 100mg PER 10mL (10mg/mL) 10mL VIAL</v>
      </c>
      <c r="C159" s="187" t="str">
        <f>INDEX('Pricing (Drugs) SS'!$E:$E,MATCH(F159,'Pricing (Drugs) SS'!$A:$A,0))</f>
        <v>10mg/mL</v>
      </c>
      <c r="D159" s="188" t="str">
        <f>INDEX('Pricing (Drugs) SS'!$F:$F,MATCH(F159,'Pricing (Drugs) SS'!$A:$A,0))</f>
        <v>10mL</v>
      </c>
      <c r="E159" s="188" t="str">
        <f>INDEX('Pricing (Drugs) SS'!$D:$D,MATCH(F159,'Pricing (Drugs) SS'!$A:$A,0))</f>
        <v>55150-226-10</v>
      </c>
      <c r="F159" s="189">
        <v>1016200</v>
      </c>
      <c r="G159" s="241">
        <f>INDEX('Pricing (Drugs) SS'!$I:$I,MATCH(F159,'Pricing (Drugs) SS'!$A:$A,0))</f>
        <v>3.3</v>
      </c>
      <c r="H159" s="241">
        <f t="shared" si="10"/>
        <v>0</v>
      </c>
      <c r="I159" s="191">
        <f>VLOOKUP(F159,'Price Sheet'!$A:$C,3,FALSE)</f>
        <v>39.99</v>
      </c>
      <c r="J159" s="191"/>
      <c r="K159" s="192">
        <f t="shared" si="13"/>
        <v>39.99</v>
      </c>
      <c r="L159" s="192">
        <f t="shared" si="16"/>
        <v>0</v>
      </c>
      <c r="M159" s="193" t="str">
        <f t="shared" si="11"/>
        <v>C</v>
      </c>
      <c r="N159" s="194" t="str">
        <f t="shared" si="9"/>
        <v>X</v>
      </c>
      <c r="O159" s="194" t="str">
        <f t="shared" si="12"/>
        <v/>
      </c>
      <c r="P159" s="124" t="str">
        <f>INDEX('Pricing (Drugs) SS'!$C:$C,MATCH(F159,'Pricing (Drugs) SS'!$A:$A,0))</f>
        <v>RESTRICTED</v>
      </c>
      <c r="Q159" s="124" t="str">
        <f>IF(AND($K$23="Extra DEA Req",S159="X"),"SAFE- CONTROLLED",INDEX('Pricing (Drugs) SS'!$G:$G,MATCH(F159,'Pricing (Drugs) SS'!$A:$A,0)))</f>
        <v>REFRIGERATED</v>
      </c>
      <c r="R159" s="195" t="str">
        <f>INDEX('Pricing (Drugs) SS'!$H:$H,MATCH(F159,'Pricing (Drugs) SS'!$A:$A,0))</f>
        <v>Lethal Injection Drug</v>
      </c>
      <c r="S159" s="124" t="str">
        <f>IF(COUNTIFS('Version and Lists'!$F:$F,F159,'Version and Lists'!$G:$G,$L$22)&gt;0,"X","")</f>
        <v/>
      </c>
    </row>
    <row r="160" spans="1:19" ht="18.75" x14ac:dyDescent="0.3">
      <c r="A160" s="185">
        <f>INDEX('McKesson Formulary Calculator'!$A$12:$A$434,MATCH(F160,'McKesson Formulary Calculator'!$F$12:$F$434,0))</f>
        <v>0</v>
      </c>
      <c r="B160" s="186" t="str">
        <f>INDEX('Pricing (Drugs) SS'!$B:$B,MATCH(F160,'Pricing (Drugs) SS'!$A:$A,0))</f>
        <v>VECURONIUM BROMIDE FOR INJECTION 10mg 1mg/mL 10mL VIAL</v>
      </c>
      <c r="C160" s="187" t="str">
        <f>INDEX('Pricing (Drugs) SS'!$E:$E,MATCH(F160,'Pricing (Drugs) SS'!$A:$A,0))</f>
        <v>1mg/mL</v>
      </c>
      <c r="D160" s="188" t="str">
        <f>INDEX('Pricing (Drugs) SS'!$F:$F,MATCH(F160,'Pricing (Drugs) SS'!$A:$A,0))</f>
        <v>10mL</v>
      </c>
      <c r="E160" s="188" t="str">
        <f>INDEX('Pricing (Drugs) SS'!$D:$D,MATCH(F160,'Pricing (Drugs) SS'!$A:$A,0))</f>
        <v>0409-1632-01</v>
      </c>
      <c r="F160" s="189">
        <v>1012950</v>
      </c>
      <c r="G160" s="241">
        <f>INDEX('Pricing (Drugs) SS'!$I:$I,MATCH(F160,'Pricing (Drugs) SS'!$A:$A,0))</f>
        <v>7.3390000000000004</v>
      </c>
      <c r="H160" s="241">
        <f t="shared" si="10"/>
        <v>0</v>
      </c>
      <c r="I160" s="191">
        <f>VLOOKUP(F160,'Price Sheet'!$A:$C,3,FALSE)</f>
        <v>59.99</v>
      </c>
      <c r="J160" s="191"/>
      <c r="K160" s="192">
        <f t="shared" si="13"/>
        <v>59.99</v>
      </c>
      <c r="L160" s="192">
        <f t="shared" si="16"/>
        <v>0</v>
      </c>
      <c r="M160" s="193" t="str">
        <f t="shared" si="11"/>
        <v/>
      </c>
      <c r="N160" s="194" t="str">
        <f t="shared" si="9"/>
        <v>X</v>
      </c>
      <c r="O160" s="194" t="str">
        <f t="shared" si="12"/>
        <v/>
      </c>
      <c r="P160" s="124" t="str">
        <f>INDEX('Pricing (Drugs) SS'!$C:$C,MATCH(F160,'Pricing (Drugs) SS'!$A:$A,0))</f>
        <v>RESTRICTED</v>
      </c>
      <c r="Q160" s="124" t="str">
        <f>IF(AND($K$23="Extra DEA Req",S160="X"),"SAFE- CONTROLLED",INDEX('Pricing (Drugs) SS'!$G:$G,MATCH(F160,'Pricing (Drugs) SS'!$A:$A,0)))</f>
        <v>DRUG ROOM</v>
      </c>
      <c r="R160" s="195" t="str">
        <f>INDEX('Pricing (Drugs) SS'!$H:$H,MATCH(F160,'Pricing (Drugs) SS'!$A:$A,0))</f>
        <v>Lethal Injection Drug</v>
      </c>
      <c r="S160" s="124" t="str">
        <f>IF(COUNTIFS('Version and Lists'!$F:$F,F160,'Version and Lists'!$G:$G,$L$22)&gt;0,"X","")</f>
        <v/>
      </c>
    </row>
    <row r="161" spans="1:19" ht="18.75" x14ac:dyDescent="0.3">
      <c r="A161" s="185">
        <f>INDEX('McKesson Formulary Calculator'!$A$12:$A$434,MATCH(F161,'McKesson Formulary Calculator'!$F$12:$F$434,0))</f>
        <v>0</v>
      </c>
      <c r="B161" s="186" t="str">
        <f>INDEX('Pricing (Drugs) SS'!$B:$B,MATCH(F161,'Pricing (Drugs) SS'!$A:$A,0))</f>
        <v>VECURONIUM BROMIDE FOR INJECTION, 10mg PER VIAL* 10mL VIAL</v>
      </c>
      <c r="C161" s="187" t="str">
        <f>INDEX('Pricing (Drugs) SS'!$E:$E,MATCH(F161,'Pricing (Drugs) SS'!$A:$A,0))</f>
        <v>1mg/mL</v>
      </c>
      <c r="D161" s="188" t="str">
        <f>INDEX('Pricing (Drugs) SS'!$F:$F,MATCH(F161,'Pricing (Drugs) SS'!$A:$A,0))</f>
        <v>10mL</v>
      </c>
      <c r="E161" s="188" t="str">
        <f>INDEX('Pricing (Drugs) SS'!$D:$D,MATCH(F161,'Pricing (Drugs) SS'!$A:$A,0))</f>
        <v>55150-235-10</v>
      </c>
      <c r="F161" s="189">
        <v>1016220</v>
      </c>
      <c r="G161" s="241">
        <f>INDEX('Pricing (Drugs) SS'!$I:$I,MATCH(F161,'Pricing (Drugs) SS'!$A:$A,0))</f>
        <v>2.4900000000000002</v>
      </c>
      <c r="H161" s="241">
        <f t="shared" si="10"/>
        <v>0</v>
      </c>
      <c r="I161" s="191">
        <f>VLOOKUP(F161,'Price Sheet'!$A:$C,3,FALSE)</f>
        <v>59.99</v>
      </c>
      <c r="J161" s="191"/>
      <c r="K161" s="192">
        <f t="shared" si="13"/>
        <v>59.99</v>
      </c>
      <c r="L161" s="192">
        <f t="shared" si="16"/>
        <v>0</v>
      </c>
      <c r="M161" s="193" t="str">
        <f t="shared" si="11"/>
        <v/>
      </c>
      <c r="N161" s="194" t="str">
        <f t="shared" si="9"/>
        <v>X</v>
      </c>
      <c r="O161" s="194" t="str">
        <f t="shared" si="12"/>
        <v/>
      </c>
      <c r="P161" s="124" t="str">
        <f>INDEX('Pricing (Drugs) SS'!$C:$C,MATCH(F161,'Pricing (Drugs) SS'!$A:$A,0))</f>
        <v>RESTRICTED</v>
      </c>
      <c r="Q161" s="124" t="str">
        <f>IF(AND($K$23="Extra DEA Req",S161="X"),"SAFE- CONTROLLED",INDEX('Pricing (Drugs) SS'!$G:$G,MATCH(F161,'Pricing (Drugs) SS'!$A:$A,0)))</f>
        <v>DRUG ROOM</v>
      </c>
      <c r="R161" s="195" t="str">
        <f>INDEX('Pricing (Drugs) SS'!$H:$H,MATCH(F161,'Pricing (Drugs) SS'!$A:$A,0))</f>
        <v>Lethal Injection Drug</v>
      </c>
      <c r="S161" s="124" t="str">
        <f>IF(COUNTIFS('Version and Lists'!$F:$F,F161,'Version and Lists'!$G:$G,$L$22)&gt;0,"X","")</f>
        <v/>
      </c>
    </row>
    <row r="162" spans="1:19" ht="18.75" x14ac:dyDescent="0.3">
      <c r="A162" s="185">
        <f>INDEX('McKesson Formulary Calculator'!$A$12:$A$434,MATCH(F162,'McKesson Formulary Calculator'!$F$12:$F$434,0))</f>
        <v>0</v>
      </c>
      <c r="B162" s="186" t="str">
        <f>INDEX('Pricing (Drugs) SS'!$B:$B,MATCH(F162,'Pricing (Drugs) SS'!$A:$A,0))</f>
        <v>TRANEXAMIC ACID INJECTION 1000mg PER 10mL (100mg/mL) 10mL VIAL</v>
      </c>
      <c r="C162" s="187" t="str">
        <f>INDEX('Pricing (Drugs) SS'!$E:$E,MATCH(F162,'Pricing (Drugs) SS'!$A:$A,0))</f>
        <v>100mg/mL</v>
      </c>
      <c r="D162" s="188" t="str">
        <f>INDEX('Pricing (Drugs) SS'!$F:$F,MATCH(F162,'Pricing (Drugs) SS'!$A:$A,0))</f>
        <v>10mL</v>
      </c>
      <c r="E162" s="188" t="str">
        <f>INDEX('Pricing (Drugs) SS'!$D:$D,MATCH(F162,'Pricing (Drugs) SS'!$A:$A,0))</f>
        <v>55150-188-10</v>
      </c>
      <c r="F162" s="189">
        <v>1015840</v>
      </c>
      <c r="G162" s="241">
        <f>INDEX('Pricing (Drugs) SS'!$I:$I,MATCH(F162,'Pricing (Drugs) SS'!$A:$A,0))</f>
        <v>1.7050000000000001</v>
      </c>
      <c r="H162" s="241">
        <f t="shared" si="10"/>
        <v>0</v>
      </c>
      <c r="I162" s="191">
        <f>VLOOKUP(F162,'Price Sheet'!$A:$C,3,FALSE)</f>
        <v>19.95</v>
      </c>
      <c r="J162" s="191"/>
      <c r="K162" s="192">
        <f t="shared" si="13"/>
        <v>19.95</v>
      </c>
      <c r="L162" s="192">
        <f t="shared" si="16"/>
        <v>0</v>
      </c>
      <c r="M162" s="193" t="str">
        <f t="shared" si="11"/>
        <v/>
      </c>
      <c r="N162" s="194" t="str">
        <f t="shared" ref="N162:N168" si="17">IF(R162&lt;&gt;"Not on List","X","")</f>
        <v/>
      </c>
      <c r="O162" s="194" t="str">
        <f t="shared" si="12"/>
        <v/>
      </c>
      <c r="P162" s="124" t="str">
        <f>INDEX('Pricing (Drugs) SS'!$C:$C,MATCH(F162,'Pricing (Drugs) SS'!$A:$A,0))</f>
        <v>ACTIVE</v>
      </c>
      <c r="Q162" s="124" t="str">
        <f>IF(AND($K$23="Extra DEA Req",S162="X"),"SAFE- CONTROLLED",INDEX('Pricing (Drugs) SS'!$G:$G,MATCH(F162,'Pricing (Drugs) SS'!$A:$A,0)))</f>
        <v>DRUG ROOM</v>
      </c>
      <c r="R162" s="195" t="str">
        <f>INDEX('Pricing (Drugs) SS'!$H:$H,MATCH(F162,'Pricing (Drugs) SS'!$A:$A,0))</f>
        <v>Not on List</v>
      </c>
      <c r="S162" s="124" t="str">
        <f>IF(COUNTIFS('Version and Lists'!$F:$F,F162,'Version and Lists'!$G:$G,$L$22)&gt;0,"X","")</f>
        <v/>
      </c>
    </row>
    <row r="163" spans="1:19" ht="18.75" x14ac:dyDescent="0.3">
      <c r="A163" s="185">
        <f>INDEX('McKesson Formulary Calculator'!$A$12:$A$434,MATCH(F163,'McKesson Formulary Calculator'!$F$12:$F$434,0))</f>
        <v>0</v>
      </c>
      <c r="B163" s="186" t="str">
        <f>INDEX('Pricing (Drugs) SS'!$B:$B,MATCH(F163,'Pricing (Drugs) SS'!$A:$A,0))</f>
        <v>VASOSTRICT(TM) (VASOPRESSIN INJECTION, USP) 20 UNITS PER mL 1mL VIAL</v>
      </c>
      <c r="C163" s="187" t="str">
        <f>INDEX('Pricing (Drugs) SS'!$E:$E,MATCH(F163,'Pricing (Drugs) SS'!$A:$A,0))</f>
        <v>20 UNITS PER mL</v>
      </c>
      <c r="D163" s="188" t="str">
        <f>INDEX('Pricing (Drugs) SS'!$F:$F,MATCH(F163,'Pricing (Drugs) SS'!$A:$A,0))</f>
        <v>1mL</v>
      </c>
      <c r="E163" s="188" t="str">
        <f>INDEX('Pricing (Drugs) SS'!$D:$D,MATCH(F163,'Pricing (Drugs) SS'!$A:$A,0))</f>
        <v>42023-0164-25</v>
      </c>
      <c r="F163" s="189">
        <v>1009720</v>
      </c>
      <c r="G163" s="241">
        <f>INDEX('Pricing (Drugs) SS'!$I:$I,MATCH(F163,'Pricing (Drugs) SS'!$A:$A,0))</f>
        <v>9.92</v>
      </c>
      <c r="H163" s="241">
        <f t="shared" ref="H163:H168" si="18">A163*G163</f>
        <v>0</v>
      </c>
      <c r="I163" s="191">
        <f>VLOOKUP(F163,'Price Sheet'!$A:$C,3,FALSE)</f>
        <v>336.99</v>
      </c>
      <c r="J163" s="191"/>
      <c r="K163" s="192">
        <f t="shared" si="13"/>
        <v>336.99</v>
      </c>
      <c r="L163" s="192">
        <f t="shared" si="16"/>
        <v>0</v>
      </c>
      <c r="M163" s="193" t="str">
        <f t="shared" ref="M163:M168" si="19">IF(AND(Q163&lt;&gt;"Drug Room",Q163&lt;&gt;"SAFE- CONTROLLED"),"C","")</f>
        <v>C</v>
      </c>
      <c r="N163" s="194" t="str">
        <f t="shared" si="17"/>
        <v/>
      </c>
      <c r="O163" s="194" t="str">
        <f t="shared" ref="O163:O168" si="20">IF(Q163="Safe- Controlled","X","")</f>
        <v/>
      </c>
      <c r="P163" s="124" t="str">
        <f>INDEX('Pricing (Drugs) SS'!$C:$C,MATCH(F163,'Pricing (Drugs) SS'!$A:$A,0))</f>
        <v>ACTIVE</v>
      </c>
      <c r="Q163" s="124" t="str">
        <f>IF(AND($K$23="Extra DEA Req",S163="X"),"SAFE- CONTROLLED",INDEX('Pricing (Drugs) SS'!$G:$G,MATCH(F163,'Pricing (Drugs) SS'!$A:$A,0)))</f>
        <v>REFRIGERATED</v>
      </c>
      <c r="R163" s="195" t="str">
        <f>INDEX('Pricing (Drugs) SS'!$H:$H,MATCH(F163,'Pricing (Drugs) SS'!$A:$A,0))</f>
        <v>Not on List</v>
      </c>
      <c r="S163" s="124" t="str">
        <f>IF(COUNTIFS('Version and Lists'!$F:$F,F163,'Version and Lists'!$G:$G,$L$22)&gt;0,"X","")</f>
        <v/>
      </c>
    </row>
    <row r="164" spans="1:19" ht="18.75" x14ac:dyDescent="0.3">
      <c r="A164" s="185">
        <f>INDEX('McKesson Formulary Calculator'!$A$12:$A$434,MATCH(F164,'McKesson Formulary Calculator'!$F$12:$F$434,0))</f>
        <v>0</v>
      </c>
      <c r="B164" s="186" t="str">
        <f>INDEX('Pricing (Drugs) SS'!$B:$B,MATCH(F164,'Pricing (Drugs) SS'!$A:$A,0))</f>
        <v>VERAPAMIL HCI INJECTION USP, 5mg PER 2mL (2.5mg/mL) 2mL VIAL</v>
      </c>
      <c r="C164" s="187" t="str">
        <f>INDEX('Pricing (Drugs) SS'!$E:$E,MATCH(F164,'Pricing (Drugs) SS'!$A:$A,0))</f>
        <v>2.5mg/mL</v>
      </c>
      <c r="D164" s="188" t="str">
        <f>INDEX('Pricing (Drugs) SS'!$F:$F,MATCH(F164,'Pricing (Drugs) SS'!$A:$A,0))</f>
        <v>2mL</v>
      </c>
      <c r="E164" s="188" t="str">
        <f>INDEX('Pricing (Drugs) SS'!$D:$D,MATCH(F164,'Pricing (Drugs) SS'!$A:$A,0))</f>
        <v>55150-342-25</v>
      </c>
      <c r="F164" s="189">
        <v>1016240</v>
      </c>
      <c r="G164" s="241">
        <f>INDEX('Pricing (Drugs) SS'!$I:$I,MATCH(F164,'Pricing (Drugs) SS'!$A:$A,0))</f>
        <v>3.99</v>
      </c>
      <c r="H164" s="241">
        <f t="shared" si="18"/>
        <v>0</v>
      </c>
      <c r="I164" s="191">
        <f>VLOOKUP(F164,'Price Sheet'!$A:$C,3,FALSE)</f>
        <v>58.99</v>
      </c>
      <c r="J164" s="191"/>
      <c r="K164" s="192">
        <f t="shared" ref="K164:K168" si="21">J164+I164</f>
        <v>58.99</v>
      </c>
      <c r="L164" s="192">
        <f t="shared" si="16"/>
        <v>0</v>
      </c>
      <c r="M164" s="193" t="str">
        <f t="shared" si="19"/>
        <v/>
      </c>
      <c r="N164" s="194" t="str">
        <f t="shared" si="17"/>
        <v/>
      </c>
      <c r="O164" s="194" t="str">
        <f t="shared" si="20"/>
        <v/>
      </c>
      <c r="P164" s="124" t="str">
        <f>INDEX('Pricing (Drugs) SS'!$C:$C,MATCH(F164,'Pricing (Drugs) SS'!$A:$A,0))</f>
        <v>ACTIVE</v>
      </c>
      <c r="Q164" s="124" t="str">
        <f>IF(AND($K$23="Extra DEA Req",S164="X"),"SAFE- CONTROLLED",INDEX('Pricing (Drugs) SS'!$G:$G,MATCH(F164,'Pricing (Drugs) SS'!$A:$A,0)))</f>
        <v>DRUG ROOM</v>
      </c>
      <c r="R164" s="195" t="str">
        <f>INDEX('Pricing (Drugs) SS'!$H:$H,MATCH(F164,'Pricing (Drugs) SS'!$A:$A,0))</f>
        <v>Not on List</v>
      </c>
      <c r="S164" s="124" t="str">
        <f>IF(COUNTIFS('Version and Lists'!$F:$F,F164,'Version and Lists'!$G:$G,$L$22)&gt;0,"X","")</f>
        <v/>
      </c>
    </row>
    <row r="165" spans="1:19" ht="18.75" x14ac:dyDescent="0.3">
      <c r="A165" s="185">
        <f>INDEX('McKesson Formulary Calculator'!$A$12:$A$434,MATCH(F165,'McKesson Formulary Calculator'!$F$12:$F$434,0))</f>
        <v>0</v>
      </c>
      <c r="B165" s="186" t="str">
        <f>INDEX('Pricing (Drugs) SS'!$B:$B,MATCH(F165,'Pricing (Drugs) SS'!$A:$A,0))</f>
        <v>VERAPAMIL HCI INJECTION, USP 10mg PER 4mL (2.5mg/mL) 4mL VIAL</v>
      </c>
      <c r="C165" s="187" t="str">
        <f>INDEX('Pricing (Drugs) SS'!$E:$E,MATCH(F165,'Pricing (Drugs) SS'!$A:$A,0))</f>
        <v>2.5mg/mL</v>
      </c>
      <c r="D165" s="188" t="str">
        <f>INDEX('Pricing (Drugs) SS'!$F:$F,MATCH(F165,'Pricing (Drugs) SS'!$A:$A,0))</f>
        <v>4mL</v>
      </c>
      <c r="E165" s="188" t="str">
        <f>INDEX('Pricing (Drugs) SS'!$D:$D,MATCH(F165,'Pricing (Drugs) SS'!$A:$A,0))</f>
        <v>55150-343-05</v>
      </c>
      <c r="F165" s="189">
        <v>1016230</v>
      </c>
      <c r="G165" s="241">
        <f>INDEX('Pricing (Drugs) SS'!$I:$I,MATCH(F165,'Pricing (Drugs) SS'!$A:$A,0))</f>
        <v>4.8</v>
      </c>
      <c r="H165" s="241">
        <f t="shared" si="18"/>
        <v>0</v>
      </c>
      <c r="I165" s="191">
        <f>VLOOKUP(F165,'Price Sheet'!$A:$C,3,FALSE)</f>
        <v>64.989999999999995</v>
      </c>
      <c r="J165" s="191"/>
      <c r="K165" s="192">
        <f t="shared" si="21"/>
        <v>64.989999999999995</v>
      </c>
      <c r="L165" s="192">
        <f t="shared" si="16"/>
        <v>0</v>
      </c>
      <c r="M165" s="193" t="str">
        <f t="shared" si="19"/>
        <v/>
      </c>
      <c r="N165" s="194" t="str">
        <f t="shared" si="17"/>
        <v/>
      </c>
      <c r="O165" s="194" t="str">
        <f t="shared" si="20"/>
        <v/>
      </c>
      <c r="P165" s="124" t="str">
        <f>INDEX('Pricing (Drugs) SS'!$C:$C,MATCH(F165,'Pricing (Drugs) SS'!$A:$A,0))</f>
        <v>ACTIVE</v>
      </c>
      <c r="Q165" s="124" t="str">
        <f>IF(AND($K$23="Extra DEA Req",S165="X"),"SAFE- CONTROLLED",INDEX('Pricing (Drugs) SS'!$G:$G,MATCH(F165,'Pricing (Drugs) SS'!$A:$A,0)))</f>
        <v>DRUG ROOM</v>
      </c>
      <c r="R165" s="195" t="str">
        <f>INDEX('Pricing (Drugs) SS'!$H:$H,MATCH(F165,'Pricing (Drugs) SS'!$A:$A,0))</f>
        <v>Not on List</v>
      </c>
      <c r="S165" s="124" t="str">
        <f>IF(COUNTIFS('Version and Lists'!$F:$F,F165,'Version and Lists'!$G:$G,$L$22)&gt;0,"X","")</f>
        <v/>
      </c>
    </row>
    <row r="166" spans="1:19" ht="18.75" x14ac:dyDescent="0.3">
      <c r="A166" s="185">
        <f>INDEX('McKesson Formulary Calculator'!$A$12:$A$434,MATCH(F166,'McKesson Formulary Calculator'!$F$12:$F$434,0))</f>
        <v>0</v>
      </c>
      <c r="B166" s="186" t="str">
        <f>INDEX('Pricing (Drugs) SS'!$B:$B,MATCH(F166,'Pricing (Drugs) SS'!$A:$A,0))</f>
        <v>VERAPAMIL HYDROCHLORIDE INJECTION, USP 10mg (2.5 mg/mL) 4mL ANSYR SYR</v>
      </c>
      <c r="C166" s="187" t="str">
        <f>INDEX('Pricing (Drugs) SS'!$E:$E,MATCH(F166,'Pricing (Drugs) SS'!$A:$A,0))</f>
        <v>10mg (2.5 mg/mL)</v>
      </c>
      <c r="D166" s="188" t="str">
        <f>INDEX('Pricing (Drugs) SS'!$F:$F,MATCH(F166,'Pricing (Drugs) SS'!$A:$A,0))</f>
        <v>4mL</v>
      </c>
      <c r="E166" s="188" t="str">
        <f>INDEX('Pricing (Drugs) SS'!$D:$D,MATCH(F166,'Pricing (Drugs) SS'!$A:$A,0))</f>
        <v>0409-9633-05</v>
      </c>
      <c r="F166" s="189">
        <v>1000720</v>
      </c>
      <c r="G166" s="241">
        <f>INDEX('Pricing (Drugs) SS'!$I:$I,MATCH(F166,'Pricing (Drugs) SS'!$A:$A,0))</f>
        <v>108.151</v>
      </c>
      <c r="H166" s="241">
        <f t="shared" si="18"/>
        <v>0</v>
      </c>
      <c r="I166" s="191">
        <f>VLOOKUP(F166,'Price Sheet'!$A:$C,3,FALSE)</f>
        <v>266.97000000000003</v>
      </c>
      <c r="J166" s="191"/>
      <c r="K166" s="192">
        <f t="shared" si="21"/>
        <v>266.97000000000003</v>
      </c>
      <c r="L166" s="192">
        <f t="shared" si="16"/>
        <v>0</v>
      </c>
      <c r="M166" s="193" t="str">
        <f t="shared" si="19"/>
        <v/>
      </c>
      <c r="N166" s="194" t="str">
        <f t="shared" si="17"/>
        <v/>
      </c>
      <c r="O166" s="194" t="str">
        <f t="shared" si="20"/>
        <v/>
      </c>
      <c r="P166" s="124" t="str">
        <f>INDEX('Pricing (Drugs) SS'!$C:$C,MATCH(F166,'Pricing (Drugs) SS'!$A:$A,0))</f>
        <v>ACTIVE</v>
      </c>
      <c r="Q166" s="124" t="str">
        <f>IF(AND($K$23="Extra DEA Req",S166="X"),"SAFE- CONTROLLED",INDEX('Pricing (Drugs) SS'!$G:$G,MATCH(F166,'Pricing (Drugs) SS'!$A:$A,0)))</f>
        <v>DRUG ROOM</v>
      </c>
      <c r="R166" s="195" t="str">
        <f>INDEX('Pricing (Drugs) SS'!$H:$H,MATCH(F166,'Pricing (Drugs) SS'!$A:$A,0))</f>
        <v>Not on List</v>
      </c>
      <c r="S166" s="124" t="str">
        <f>IF(COUNTIFS('Version and Lists'!$F:$F,F166,'Version and Lists'!$G:$G,$L$22)&gt;0,"X","")</f>
        <v/>
      </c>
    </row>
    <row r="167" spans="1:19" ht="18.75" x14ac:dyDescent="0.3">
      <c r="A167" s="185">
        <f>INDEX('McKesson Formulary Calculator'!$A$12:$A$434,MATCH(F167,'McKesson Formulary Calculator'!$F$12:$F$434,0))</f>
        <v>0</v>
      </c>
      <c r="B167" s="186" t="str">
        <f>INDEX('Pricing (Drugs) SS'!$B:$B,MATCH(F167,'Pricing (Drugs) SS'!$A:$A,0))</f>
        <v>STERILE WATER FOR INJECTION, USP 20mL VIAL</v>
      </c>
      <c r="C167" s="187">
        <f>INDEX('Pricing (Drugs) SS'!$E:$E,MATCH(F167,'Pricing (Drugs) SS'!$A:$A,0))</f>
        <v>0</v>
      </c>
      <c r="D167" s="188" t="str">
        <f>INDEX('Pricing (Drugs) SS'!$F:$F,MATCH(F167,'Pricing (Drugs) SS'!$A:$A,0))</f>
        <v>20mL</v>
      </c>
      <c r="E167" s="188" t="str">
        <f>INDEX('Pricing (Drugs) SS'!$D:$D,MATCH(F167,'Pricing (Drugs) SS'!$A:$A,0))</f>
        <v>0409-4887-20</v>
      </c>
      <c r="F167" s="189">
        <v>1012940</v>
      </c>
      <c r="G167" s="241">
        <f>INDEX('Pricing (Drugs) SS'!$I:$I,MATCH(F167,'Pricing (Drugs) SS'!$A:$A,0))</f>
        <v>5.93</v>
      </c>
      <c r="H167" s="241">
        <f t="shared" si="18"/>
        <v>0</v>
      </c>
      <c r="I167" s="191">
        <f>VLOOKUP(F167,'Price Sheet'!$A:$C,3,FALSE)</f>
        <v>11.99</v>
      </c>
      <c r="J167" s="191"/>
      <c r="K167" s="192">
        <f t="shared" si="21"/>
        <v>11.99</v>
      </c>
      <c r="L167" s="192">
        <f t="shared" si="16"/>
        <v>0</v>
      </c>
      <c r="M167" s="193" t="str">
        <f t="shared" si="19"/>
        <v/>
      </c>
      <c r="N167" s="194" t="str">
        <f t="shared" si="17"/>
        <v/>
      </c>
      <c r="O167" s="194" t="str">
        <f t="shared" si="20"/>
        <v/>
      </c>
      <c r="P167" s="124" t="str">
        <f>INDEX('Pricing (Drugs) SS'!$C:$C,MATCH(F167,'Pricing (Drugs) SS'!$A:$A,0))</f>
        <v>ACTIVE</v>
      </c>
      <c r="Q167" s="124" t="str">
        <f>IF(AND($K$23="Extra DEA Req",S167="X"),"SAFE- CONTROLLED",INDEX('Pricing (Drugs) SS'!$G:$G,MATCH(F167,'Pricing (Drugs) SS'!$A:$A,0)))</f>
        <v>DRUG ROOM</v>
      </c>
      <c r="R167" s="195" t="str">
        <f>INDEX('Pricing (Drugs) SS'!$H:$H,MATCH(F167,'Pricing (Drugs) SS'!$A:$A,0))</f>
        <v>Not on List</v>
      </c>
      <c r="S167" s="124" t="str">
        <f>IF(COUNTIFS('Version and Lists'!$F:$F,F167,'Version and Lists'!$G:$G,$L$22)&gt;0,"X","")</f>
        <v/>
      </c>
    </row>
    <row r="168" spans="1:19" ht="18.75" x14ac:dyDescent="0.3">
      <c r="A168" s="185">
        <f>INDEX('McKesson Formulary Calculator'!$A$12:$A$434,MATCH(F168,'McKesson Formulary Calculator'!$F$12:$F$434,0))</f>
        <v>0</v>
      </c>
      <c r="B168" s="186" t="str">
        <f>INDEX('Pricing (Drugs) SS'!$B:$B,MATCH(F168,'Pricing (Drugs) SS'!$A:$A,0))</f>
        <v>STERILE WATER FOR INJECTION, USP 50mL VIAL</v>
      </c>
      <c r="C168" s="187">
        <f>INDEX('Pricing (Drugs) SS'!$E:$E,MATCH(F168,'Pricing (Drugs) SS'!$A:$A,0))</f>
        <v>0</v>
      </c>
      <c r="D168" s="188" t="str">
        <f>INDEX('Pricing (Drugs) SS'!$F:$F,MATCH(F168,'Pricing (Drugs) SS'!$A:$A,0))</f>
        <v>50mL</v>
      </c>
      <c r="E168" s="188" t="str">
        <f>INDEX('Pricing (Drugs) SS'!$D:$D,MATCH(F168,'Pricing (Drugs) SS'!$A:$A,0))</f>
        <v>0409-4887-50</v>
      </c>
      <c r="F168" s="189">
        <v>1000680</v>
      </c>
      <c r="G168" s="241">
        <f>INDEX('Pricing (Drugs) SS'!$I:$I,MATCH(F168,'Pricing (Drugs) SS'!$A:$A,0))</f>
        <v>8.64</v>
      </c>
      <c r="H168" s="241">
        <f t="shared" si="18"/>
        <v>0</v>
      </c>
      <c r="I168" s="191">
        <f>VLOOKUP(F168,'Price Sheet'!$A:$C,3,FALSE)</f>
        <v>9.99</v>
      </c>
      <c r="J168" s="191"/>
      <c r="K168" s="192">
        <f t="shared" si="21"/>
        <v>9.99</v>
      </c>
      <c r="L168" s="192">
        <f t="shared" si="16"/>
        <v>0</v>
      </c>
      <c r="M168" s="193" t="str">
        <f t="shared" si="19"/>
        <v/>
      </c>
      <c r="N168" s="194" t="str">
        <f t="shared" si="17"/>
        <v/>
      </c>
      <c r="O168" s="194" t="str">
        <f t="shared" si="20"/>
        <v/>
      </c>
      <c r="P168" s="124" t="str">
        <f>INDEX('Pricing (Drugs) SS'!$C:$C,MATCH(F168,'Pricing (Drugs) SS'!$A:$A,0))</f>
        <v>ACTIVE</v>
      </c>
      <c r="Q168" s="124" t="str">
        <f>IF(AND($K$23="Extra DEA Req",S168="X"),"SAFE- CONTROLLED",INDEX('Pricing (Drugs) SS'!$G:$G,MATCH(F168,'Pricing (Drugs) SS'!$A:$A,0)))</f>
        <v>DRUG ROOM</v>
      </c>
      <c r="R168" s="195" t="str">
        <f>INDEX('Pricing (Drugs) SS'!$H:$H,MATCH(F168,'Pricing (Drugs) SS'!$A:$A,0))</f>
        <v>Not on List</v>
      </c>
      <c r="S168" s="124" t="str">
        <f>IF(COUNTIFS('Version and Lists'!$F:$F,F168,'Version and Lists'!$G:$G,$L$22)&gt;0,"X","")</f>
        <v/>
      </c>
    </row>
    <row r="169" spans="1:19" ht="18.75" x14ac:dyDescent="0.3">
      <c r="A169" s="185">
        <f>INDEX('McKesson Formulary Calculator'!$A$12:$A$434,MATCH(F169,'McKesson Formulary Calculator'!$F$12:$F$434,0))</f>
        <v>0</v>
      </c>
      <c r="B169" s="186" t="str">
        <f>INDEX('Pricing (Drugs) SS'!$B:$B,MATCH(F169,'Pricing (Drugs) SS'!$A:$A,0))</f>
        <v>STERILE WATER FOR INJECTION, USP 100mL VIAL</v>
      </c>
      <c r="C169" s="187">
        <f>INDEX('Pricing (Drugs) SS'!$E:$E,MATCH(F169,'Pricing (Drugs) SS'!$A:$A,0))</f>
        <v>0</v>
      </c>
      <c r="D169" s="188" t="str">
        <f>INDEX('Pricing (Drugs) SS'!$F:$F,MATCH(F169,'Pricing (Drugs) SS'!$A:$A,0))</f>
        <v>100mL</v>
      </c>
      <c r="E169" s="188" t="str">
        <f>INDEX('Pricing (Drugs) SS'!$D:$D,MATCH(F169,'Pricing (Drugs) SS'!$A:$A,0))</f>
        <v>0409-4887-99</v>
      </c>
      <c r="F169" s="189">
        <v>1000690</v>
      </c>
      <c r="G169" s="241">
        <f>INDEX('Pricing (Drugs) SS'!$I:$I,MATCH(F169,'Pricing (Drugs) SS'!$A:$A,0))</f>
        <v>10.032400000000001</v>
      </c>
      <c r="H169" s="241">
        <f t="shared" ref="H169" si="22">A169*G169</f>
        <v>0</v>
      </c>
      <c r="I169" s="191">
        <f>VLOOKUP(F169,'Price Sheet'!$A:$C,3,FALSE)</f>
        <v>12.99</v>
      </c>
      <c r="J169" s="191"/>
      <c r="K169" s="192">
        <f t="shared" ref="K169" si="23">J169+I169</f>
        <v>12.99</v>
      </c>
      <c r="L169" s="192">
        <f t="shared" ref="L169" si="24">IFERROR(K169*A169,"")</f>
        <v>0</v>
      </c>
      <c r="M169" s="193" t="str">
        <f t="shared" ref="M169" si="25">IF(AND(Q169&lt;&gt;"Drug Room",Q169&lt;&gt;"SAFE- CONTROLLED"),"C","")</f>
        <v/>
      </c>
      <c r="N169" s="194" t="str">
        <f t="shared" ref="N169" si="26">IF(R169&lt;&gt;"Not on List","X","")</f>
        <v/>
      </c>
      <c r="O169" s="194" t="str">
        <f t="shared" ref="O169" si="27">IF(Q169="Safe- Controlled","X","")</f>
        <v/>
      </c>
      <c r="P169" s="124" t="str">
        <f>INDEX('Pricing (Drugs) SS'!$C:$C,MATCH(F169,'Pricing (Drugs) SS'!$A:$A,0))</f>
        <v>ACTIVE</v>
      </c>
      <c r="Q169" s="124" t="str">
        <f>IF(AND($K$23="Extra DEA Req",S169="X"),"SAFE- CONTROLLED",INDEX('Pricing (Drugs) SS'!$G:$G,MATCH(F169,'Pricing (Drugs) SS'!$A:$A,0)))</f>
        <v>DRUG ROOM</v>
      </c>
      <c r="R169" s="195" t="str">
        <f>INDEX('Pricing (Drugs) SS'!$H:$H,MATCH(F169,'Pricing (Drugs) SS'!$A:$A,0))</f>
        <v>Not on List</v>
      </c>
      <c r="S169" s="124" t="str">
        <f>IF(COUNTIFS('Version and Lists'!$F:$F,F169,'Version and Lists'!$G:$G,$L$22)&gt;0,"X","")</f>
        <v/>
      </c>
    </row>
  </sheetData>
  <sheetProtection autoFilter="0"/>
  <autoFilter ref="A33:F168" xr:uid="{88CBD448-05F2-437C-A1BA-31C759C5340C}">
    <sortState xmlns:xlrd2="http://schemas.microsoft.com/office/spreadsheetml/2017/richdata2" ref="A34:F168">
      <sortCondition ref="B33"/>
    </sortState>
  </autoFilter>
  <sortState xmlns:xlrd2="http://schemas.microsoft.com/office/spreadsheetml/2017/richdata2" ref="A34:M104">
    <sortCondition ref="B34:B104"/>
  </sortState>
  <mergeCells count="36">
    <mergeCell ref="A25:D25"/>
    <mergeCell ref="E15:F15"/>
    <mergeCell ref="C17:D17"/>
    <mergeCell ref="E17:F17"/>
    <mergeCell ref="C18:D18"/>
    <mergeCell ref="E18:F18"/>
    <mergeCell ref="C19:D19"/>
    <mergeCell ref="E19:F19"/>
    <mergeCell ref="A24:F24"/>
    <mergeCell ref="C20:D20"/>
    <mergeCell ref="E20:F20"/>
    <mergeCell ref="C21:D21"/>
    <mergeCell ref="E21:F21"/>
    <mergeCell ref="A22:F22"/>
    <mergeCell ref="A23:F23"/>
    <mergeCell ref="E11:F11"/>
    <mergeCell ref="E12:F12"/>
    <mergeCell ref="E13:F13"/>
    <mergeCell ref="A6:K6"/>
    <mergeCell ref="E14:F14"/>
    <mergeCell ref="K23:L23"/>
    <mergeCell ref="A32:F32"/>
    <mergeCell ref="A26:F26"/>
    <mergeCell ref="A1:K1"/>
    <mergeCell ref="A2:K2"/>
    <mergeCell ref="A3:K3"/>
    <mergeCell ref="A4:K4"/>
    <mergeCell ref="A5:K5"/>
    <mergeCell ref="C16:D16"/>
    <mergeCell ref="E16:F16"/>
    <mergeCell ref="E8:F8"/>
    <mergeCell ref="C9:D9"/>
    <mergeCell ref="E9:F9"/>
    <mergeCell ref="C10:D10"/>
    <mergeCell ref="E10:F10"/>
    <mergeCell ref="C11:D11"/>
  </mergeCells>
  <conditionalFormatting sqref="A34:F217">
    <cfRule type="expression" dxfId="14" priority="3">
      <formula>$M34="C"</formula>
    </cfRule>
    <cfRule type="expression" dxfId="13" priority="31" stopIfTrue="1">
      <formula>$O34="X"</formula>
    </cfRule>
  </conditionalFormatting>
  <conditionalFormatting sqref="A170:H904">
    <cfRule type="expression" dxfId="12" priority="32" stopIfTrue="1">
      <formula>$M170=1</formula>
    </cfRule>
  </conditionalFormatting>
  <conditionalFormatting sqref="F34:F169">
    <cfRule type="expression" dxfId="11" priority="2">
      <formula>$O34="X"</formula>
    </cfRule>
  </conditionalFormatting>
  <conditionalFormatting sqref="F34:F467">
    <cfRule type="duplicateValues" dxfId="10" priority="522"/>
  </conditionalFormatting>
  <dataValidations disablePrompts="1" count="2">
    <dataValidation type="list" allowBlank="1" showInputMessage="1" showErrorMessage="1" sqref="P26" xr:uid="{50F49192-C8C2-40EE-9863-C47E46064579}">
      <formula1>"Healthfirst, Henry Schein, Medline"</formula1>
    </dataValidation>
    <dataValidation allowBlank="1" showInputMessage="1" showErrorMessage="1" promptTitle="NEW OR EXISTING FACILITY?" prompt="Please specify" sqref="B16" xr:uid="{76DF5B2E-E3FF-4EE8-9950-B1C71C7CF9A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E4A32-6B72-440D-9362-D9427540C53B}">
  <sheetPr codeName="Sheet8"/>
  <dimension ref="A1:G31"/>
  <sheetViews>
    <sheetView workbookViewId="0">
      <selection activeCell="E29" sqref="E29:K29"/>
    </sheetView>
  </sheetViews>
  <sheetFormatPr defaultRowHeight="15" x14ac:dyDescent="0.25"/>
  <cols>
    <col min="1" max="2" width="9.140625" style="1"/>
    <col min="3" max="3" width="9.140625" style="87"/>
    <col min="4" max="5" width="9.140625" style="1"/>
  </cols>
  <sheetData>
    <row r="1" spans="1:7" x14ac:dyDescent="0.25">
      <c r="A1" s="387" t="s">
        <v>80</v>
      </c>
      <c r="B1" s="387"/>
      <c r="C1" s="86"/>
      <c r="E1"/>
    </row>
    <row r="2" spans="1:7" x14ac:dyDescent="0.25">
      <c r="A2" s="80" t="s">
        <v>81</v>
      </c>
      <c r="B2" s="80" t="s">
        <v>82</v>
      </c>
      <c r="C2" s="86" t="s">
        <v>76</v>
      </c>
    </row>
    <row r="3" spans="1:7" x14ac:dyDescent="0.25">
      <c r="A3" s="1">
        <v>350</v>
      </c>
      <c r="B3" s="1">
        <v>624</v>
      </c>
      <c r="C3" s="88">
        <v>500</v>
      </c>
      <c r="D3" s="1">
        <v>1017250</v>
      </c>
      <c r="E3" s="1">
        <v>1210885</v>
      </c>
      <c r="F3" s="110">
        <v>1017250</v>
      </c>
      <c r="G3" s="1">
        <v>1210885</v>
      </c>
    </row>
    <row r="4" spans="1:7" x14ac:dyDescent="0.25">
      <c r="A4" s="1">
        <v>625</v>
      </c>
      <c r="B4" s="1">
        <v>874</v>
      </c>
      <c r="C4" s="88">
        <v>750</v>
      </c>
      <c r="D4" s="1">
        <v>1017320</v>
      </c>
      <c r="E4" s="1">
        <v>1210886</v>
      </c>
      <c r="F4" s="110">
        <v>1017320</v>
      </c>
      <c r="G4" s="1">
        <v>1210886</v>
      </c>
    </row>
    <row r="5" spans="1:7" x14ac:dyDescent="0.25">
      <c r="A5" s="1">
        <v>875</v>
      </c>
      <c r="B5" s="1">
        <v>1049</v>
      </c>
      <c r="C5" s="88">
        <v>1000</v>
      </c>
      <c r="D5" s="1">
        <v>1017260</v>
      </c>
      <c r="E5" s="1">
        <v>1210887</v>
      </c>
      <c r="F5" s="110">
        <v>1017260</v>
      </c>
      <c r="G5" s="1">
        <v>1210887</v>
      </c>
    </row>
    <row r="6" spans="1:7" x14ac:dyDescent="0.25">
      <c r="A6" s="1">
        <f>B5+1</f>
        <v>1050</v>
      </c>
      <c r="B6" s="1">
        <f>A6+99</f>
        <v>1149</v>
      </c>
      <c r="C6" s="88">
        <v>1100</v>
      </c>
      <c r="D6" s="109" t="s">
        <v>97</v>
      </c>
      <c r="E6" s="1">
        <v>1232538</v>
      </c>
      <c r="F6" s="110">
        <v>1020940</v>
      </c>
      <c r="G6" s="1">
        <v>1232538</v>
      </c>
    </row>
    <row r="7" spans="1:7" x14ac:dyDescent="0.25">
      <c r="A7" s="1">
        <f t="shared" ref="A7:A30" si="0">B6+1</f>
        <v>1150</v>
      </c>
      <c r="B7" s="1">
        <f t="shared" ref="B7:B30" si="1">A7+99</f>
        <v>1249</v>
      </c>
      <c r="C7" s="88">
        <v>1200</v>
      </c>
      <c r="D7" s="109" t="s">
        <v>98</v>
      </c>
      <c r="E7" s="1">
        <v>1232540</v>
      </c>
      <c r="F7" s="110">
        <v>1020950</v>
      </c>
      <c r="G7" s="1">
        <v>1232540</v>
      </c>
    </row>
    <row r="8" spans="1:7" x14ac:dyDescent="0.25">
      <c r="A8" s="1">
        <f t="shared" si="0"/>
        <v>1250</v>
      </c>
      <c r="B8" s="1">
        <f t="shared" si="1"/>
        <v>1349</v>
      </c>
      <c r="C8" s="88">
        <v>1300</v>
      </c>
      <c r="D8" s="109" t="s">
        <v>99</v>
      </c>
      <c r="E8" s="1">
        <v>1232543</v>
      </c>
      <c r="F8" s="110">
        <v>1020960</v>
      </c>
      <c r="G8" s="1">
        <v>1232543</v>
      </c>
    </row>
    <row r="9" spans="1:7" x14ac:dyDescent="0.25">
      <c r="A9" s="1">
        <f t="shared" si="0"/>
        <v>1350</v>
      </c>
      <c r="B9" s="1">
        <f t="shared" si="1"/>
        <v>1449</v>
      </c>
      <c r="C9" s="88">
        <v>1400</v>
      </c>
      <c r="D9" s="109" t="s">
        <v>100</v>
      </c>
      <c r="E9" s="1">
        <v>1232545</v>
      </c>
      <c r="F9" s="110">
        <v>1020970</v>
      </c>
      <c r="G9" s="1">
        <v>1232545</v>
      </c>
    </row>
    <row r="10" spans="1:7" x14ac:dyDescent="0.25">
      <c r="A10" s="1">
        <f t="shared" si="0"/>
        <v>1450</v>
      </c>
      <c r="B10" s="1">
        <f t="shared" si="1"/>
        <v>1549</v>
      </c>
      <c r="C10" s="88">
        <v>1500</v>
      </c>
      <c r="D10" s="109" t="s">
        <v>101</v>
      </c>
      <c r="E10" s="1">
        <v>1232547</v>
      </c>
      <c r="F10" s="110">
        <v>1020980</v>
      </c>
      <c r="G10" s="1">
        <v>1232547</v>
      </c>
    </row>
    <row r="11" spans="1:7" x14ac:dyDescent="0.25">
      <c r="A11" s="1">
        <f t="shared" si="0"/>
        <v>1550</v>
      </c>
      <c r="B11" s="1">
        <f t="shared" si="1"/>
        <v>1649</v>
      </c>
      <c r="C11" s="88">
        <v>1600</v>
      </c>
      <c r="D11" s="109" t="s">
        <v>102</v>
      </c>
      <c r="E11" s="1">
        <v>1232549</v>
      </c>
      <c r="F11" s="110">
        <v>1020990</v>
      </c>
      <c r="G11" s="1">
        <v>1232549</v>
      </c>
    </row>
    <row r="12" spans="1:7" x14ac:dyDescent="0.25">
      <c r="A12" s="1">
        <f t="shared" si="0"/>
        <v>1650</v>
      </c>
      <c r="B12" s="1">
        <f t="shared" si="1"/>
        <v>1749</v>
      </c>
      <c r="C12" s="88">
        <v>1700</v>
      </c>
      <c r="D12" s="109" t="s">
        <v>103</v>
      </c>
      <c r="E12" s="1">
        <v>1232551</v>
      </c>
      <c r="F12" s="110">
        <v>1021000</v>
      </c>
      <c r="G12" s="1">
        <v>1232551</v>
      </c>
    </row>
    <row r="13" spans="1:7" x14ac:dyDescent="0.25">
      <c r="A13" s="1">
        <f t="shared" si="0"/>
        <v>1750</v>
      </c>
      <c r="B13" s="1">
        <f t="shared" si="1"/>
        <v>1849</v>
      </c>
      <c r="C13" s="88">
        <v>1800</v>
      </c>
      <c r="D13" s="109" t="s">
        <v>104</v>
      </c>
      <c r="E13" s="1">
        <v>1232554</v>
      </c>
      <c r="F13" s="111">
        <v>1021010</v>
      </c>
      <c r="G13" s="1">
        <v>1232554</v>
      </c>
    </row>
    <row r="14" spans="1:7" x14ac:dyDescent="0.25">
      <c r="A14" s="1">
        <f t="shared" si="0"/>
        <v>1850</v>
      </c>
      <c r="B14" s="1">
        <f t="shared" si="1"/>
        <v>1949</v>
      </c>
      <c r="C14" s="88">
        <v>1900</v>
      </c>
      <c r="D14" s="1" t="s">
        <v>105</v>
      </c>
      <c r="E14" s="1">
        <v>1232556</v>
      </c>
      <c r="F14" s="110">
        <v>1021020</v>
      </c>
      <c r="G14" s="1">
        <v>1232556</v>
      </c>
    </row>
    <row r="15" spans="1:7" x14ac:dyDescent="0.25">
      <c r="A15" s="1">
        <f t="shared" si="0"/>
        <v>1950</v>
      </c>
      <c r="B15" s="1">
        <f t="shared" si="1"/>
        <v>2049</v>
      </c>
      <c r="C15" s="88">
        <v>2000</v>
      </c>
      <c r="D15" s="1">
        <v>1017280</v>
      </c>
      <c r="E15" s="1">
        <v>1210892</v>
      </c>
      <c r="F15" s="110">
        <v>1017280</v>
      </c>
      <c r="G15" s="1">
        <v>1210892</v>
      </c>
    </row>
    <row r="16" spans="1:7" x14ac:dyDescent="0.25">
      <c r="A16" s="1">
        <f t="shared" si="0"/>
        <v>2050</v>
      </c>
      <c r="B16" s="1">
        <f t="shared" si="1"/>
        <v>2149</v>
      </c>
      <c r="C16" s="88">
        <v>2100</v>
      </c>
      <c r="D16" s="1" t="s">
        <v>106</v>
      </c>
      <c r="E16" s="1">
        <v>1232559</v>
      </c>
      <c r="F16" s="1">
        <v>1021140</v>
      </c>
      <c r="G16" s="1">
        <v>1232559</v>
      </c>
    </row>
    <row r="17" spans="1:7" x14ac:dyDescent="0.25">
      <c r="A17" s="1">
        <f t="shared" si="0"/>
        <v>2150</v>
      </c>
      <c r="B17" s="1">
        <f t="shared" si="1"/>
        <v>2249</v>
      </c>
      <c r="C17" s="88">
        <v>2200</v>
      </c>
      <c r="D17" s="1">
        <v>1021030</v>
      </c>
      <c r="E17" s="1">
        <v>1232556</v>
      </c>
      <c r="F17" s="110">
        <v>1021030</v>
      </c>
      <c r="G17" s="1">
        <v>1232556</v>
      </c>
    </row>
    <row r="18" spans="1:7" x14ac:dyDescent="0.25">
      <c r="A18" s="1">
        <f t="shared" si="0"/>
        <v>2250</v>
      </c>
      <c r="B18" s="1">
        <f t="shared" si="1"/>
        <v>2349</v>
      </c>
      <c r="C18" s="88">
        <v>2300</v>
      </c>
      <c r="D18" s="1" t="s">
        <v>107</v>
      </c>
      <c r="E18" s="1">
        <v>1232563</v>
      </c>
      <c r="F18" s="110">
        <v>1021040</v>
      </c>
      <c r="G18" s="1">
        <v>1232563</v>
      </c>
    </row>
    <row r="19" spans="1:7" x14ac:dyDescent="0.25">
      <c r="A19" s="1">
        <f t="shared" si="0"/>
        <v>2350</v>
      </c>
      <c r="B19" s="1">
        <f t="shared" si="1"/>
        <v>2449</v>
      </c>
      <c r="C19" s="88">
        <v>2400</v>
      </c>
      <c r="D19" s="1" t="s">
        <v>108</v>
      </c>
      <c r="E19" s="1">
        <v>1232565</v>
      </c>
      <c r="F19" s="110">
        <v>1021050</v>
      </c>
      <c r="G19" s="1">
        <v>1232565</v>
      </c>
    </row>
    <row r="20" spans="1:7" x14ac:dyDescent="0.25">
      <c r="A20" s="1">
        <f t="shared" si="0"/>
        <v>2450</v>
      </c>
      <c r="B20" s="1">
        <f t="shared" si="1"/>
        <v>2549</v>
      </c>
      <c r="C20" s="88">
        <v>2500</v>
      </c>
      <c r="D20" s="1">
        <v>1017290</v>
      </c>
      <c r="E20" s="1">
        <v>1210894</v>
      </c>
      <c r="F20" s="110">
        <v>1017290</v>
      </c>
      <c r="G20" s="1">
        <v>1210894</v>
      </c>
    </row>
    <row r="21" spans="1:7" x14ac:dyDescent="0.25">
      <c r="A21" s="1">
        <f t="shared" si="0"/>
        <v>2550</v>
      </c>
      <c r="B21" s="1">
        <f t="shared" si="1"/>
        <v>2649</v>
      </c>
      <c r="C21" s="88">
        <v>2600</v>
      </c>
      <c r="D21" s="109" t="s">
        <v>109</v>
      </c>
      <c r="E21" s="1">
        <v>1232568</v>
      </c>
      <c r="F21" s="110">
        <v>1021060</v>
      </c>
      <c r="G21" s="1">
        <v>1232568</v>
      </c>
    </row>
    <row r="22" spans="1:7" x14ac:dyDescent="0.25">
      <c r="A22" s="1">
        <f t="shared" si="0"/>
        <v>2650</v>
      </c>
      <c r="B22" s="1">
        <f t="shared" si="1"/>
        <v>2749</v>
      </c>
      <c r="C22" s="88">
        <v>2700</v>
      </c>
      <c r="D22" s="109" t="s">
        <v>110</v>
      </c>
      <c r="E22" s="1">
        <v>1232570</v>
      </c>
      <c r="F22" s="110">
        <v>1021070</v>
      </c>
      <c r="G22" s="1">
        <v>1232570</v>
      </c>
    </row>
    <row r="23" spans="1:7" x14ac:dyDescent="0.25">
      <c r="A23" s="1">
        <f t="shared" si="0"/>
        <v>2750</v>
      </c>
      <c r="B23" s="1">
        <f t="shared" si="1"/>
        <v>2849</v>
      </c>
      <c r="C23" s="88">
        <v>2800</v>
      </c>
      <c r="D23" s="109" t="s">
        <v>111</v>
      </c>
      <c r="E23" s="1">
        <v>1232573</v>
      </c>
      <c r="F23" s="110">
        <v>1021080</v>
      </c>
      <c r="G23" s="1">
        <v>1232573</v>
      </c>
    </row>
    <row r="24" spans="1:7" x14ac:dyDescent="0.25">
      <c r="A24" s="1">
        <f t="shared" si="0"/>
        <v>2850</v>
      </c>
      <c r="B24" s="1">
        <f t="shared" si="1"/>
        <v>2949</v>
      </c>
      <c r="C24" s="88">
        <v>2900</v>
      </c>
      <c r="D24" s="109" t="s">
        <v>112</v>
      </c>
      <c r="E24" s="1">
        <v>1232575</v>
      </c>
      <c r="F24" s="110">
        <v>1021090</v>
      </c>
      <c r="G24" s="1">
        <v>1232575</v>
      </c>
    </row>
    <row r="25" spans="1:7" x14ac:dyDescent="0.25">
      <c r="A25" s="1">
        <f t="shared" si="0"/>
        <v>2950</v>
      </c>
      <c r="B25" s="1">
        <f t="shared" si="1"/>
        <v>3049</v>
      </c>
      <c r="C25" s="88">
        <v>3000</v>
      </c>
      <c r="D25" s="1">
        <v>1017300</v>
      </c>
      <c r="E25" s="1">
        <v>1210898</v>
      </c>
      <c r="F25" s="110">
        <v>1017300</v>
      </c>
      <c r="G25" s="1">
        <v>1210898</v>
      </c>
    </row>
    <row r="26" spans="1:7" x14ac:dyDescent="0.25">
      <c r="A26" s="1">
        <f t="shared" si="0"/>
        <v>3050</v>
      </c>
      <c r="B26" s="1">
        <f t="shared" si="1"/>
        <v>3149</v>
      </c>
      <c r="C26" s="88">
        <v>3100</v>
      </c>
      <c r="D26" s="109" t="s">
        <v>113</v>
      </c>
      <c r="E26" s="1">
        <v>1232578</v>
      </c>
      <c r="F26" s="110">
        <v>1021100</v>
      </c>
      <c r="G26" s="1">
        <v>1232578</v>
      </c>
    </row>
    <row r="27" spans="1:7" x14ac:dyDescent="0.25">
      <c r="A27" s="1">
        <f t="shared" si="0"/>
        <v>3150</v>
      </c>
      <c r="B27" s="1">
        <f t="shared" si="1"/>
        <v>3249</v>
      </c>
      <c r="C27" s="88">
        <v>3200</v>
      </c>
      <c r="D27" s="109" t="s">
        <v>114</v>
      </c>
      <c r="E27" s="1">
        <v>1232580</v>
      </c>
      <c r="F27" s="110">
        <v>1021110</v>
      </c>
      <c r="G27" s="1">
        <v>1232580</v>
      </c>
    </row>
    <row r="28" spans="1:7" x14ac:dyDescent="0.25">
      <c r="A28" s="1">
        <f t="shared" si="0"/>
        <v>3250</v>
      </c>
      <c r="B28" s="1">
        <f t="shared" si="1"/>
        <v>3349</v>
      </c>
      <c r="C28" s="88">
        <v>3300</v>
      </c>
      <c r="D28" s="109" t="s">
        <v>115</v>
      </c>
      <c r="E28" s="1">
        <v>1232583</v>
      </c>
      <c r="F28" s="110">
        <v>1021120</v>
      </c>
      <c r="G28" s="1">
        <v>1232583</v>
      </c>
    </row>
    <row r="29" spans="1:7" x14ac:dyDescent="0.25">
      <c r="A29" s="1">
        <f t="shared" si="0"/>
        <v>3350</v>
      </c>
      <c r="B29" s="1">
        <f t="shared" si="1"/>
        <v>3449</v>
      </c>
      <c r="C29" s="88">
        <v>3400</v>
      </c>
      <c r="D29" s="109" t="s">
        <v>116</v>
      </c>
      <c r="E29" s="1">
        <v>1232585</v>
      </c>
      <c r="F29" s="110">
        <v>1021130</v>
      </c>
      <c r="G29" s="1">
        <v>1232585</v>
      </c>
    </row>
    <row r="30" spans="1:7" x14ac:dyDescent="0.25">
      <c r="A30" s="1">
        <f t="shared" si="0"/>
        <v>3450</v>
      </c>
      <c r="B30" s="1">
        <f t="shared" si="1"/>
        <v>3549</v>
      </c>
      <c r="C30" s="88">
        <v>3500</v>
      </c>
      <c r="D30" s="1">
        <v>1017310</v>
      </c>
      <c r="E30" s="1">
        <v>1212781</v>
      </c>
      <c r="F30" s="110">
        <v>1017310</v>
      </c>
      <c r="G30" s="1">
        <v>1212781</v>
      </c>
    </row>
    <row r="31" spans="1:7" x14ac:dyDescent="0.25">
      <c r="A31" s="1">
        <v>3550</v>
      </c>
      <c r="B31" s="1">
        <v>10000</v>
      </c>
      <c r="C31" t="s">
        <v>88</v>
      </c>
      <c r="D31" t="s">
        <v>88</v>
      </c>
      <c r="E31" t="s">
        <v>88</v>
      </c>
    </row>
  </sheetData>
  <sheetProtection autoFilter="0"/>
  <mergeCells count="1">
    <mergeCell ref="A1:B1"/>
  </mergeCells>
  <pageMargins left="0.7" right="0.7" top="0.75" bottom="0.75" header="0.3" footer="0.3"/>
  <pageSetup orientation="portrait" r:id="rId1"/>
  <ignoredErrors>
    <ignoredError sqref="D6:D14 D16 D18:D19 D21:D24 D26:D29"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59674-6DCF-4DC0-8133-7FC71939A46F}">
  <sheetPr codeName="Sheet1">
    <tabColor rgb="FFA3E7FF"/>
    <pageSetUpPr fitToPage="1"/>
  </sheetPr>
  <dimension ref="A1:M68"/>
  <sheetViews>
    <sheetView showGridLines="0" tabSelected="1" zoomScale="85" zoomScaleNormal="85" workbookViewId="0">
      <selection activeCell="E29" sqref="E29:K29"/>
    </sheetView>
  </sheetViews>
  <sheetFormatPr defaultColWidth="9.140625" defaultRowHeight="15" x14ac:dyDescent="0.25"/>
  <cols>
    <col min="1" max="1" width="4.7109375" style="2" customWidth="1"/>
    <col min="2" max="2" width="11.42578125" style="2" customWidth="1"/>
    <col min="3" max="3" width="12" style="2" customWidth="1"/>
    <col min="4" max="4" width="77.85546875" style="2" customWidth="1"/>
    <col min="5" max="5" width="9.28515625" style="2" customWidth="1"/>
    <col min="6" max="6" width="16" style="2" customWidth="1"/>
    <col min="7" max="7" width="9.140625" style="2"/>
    <col min="8" max="8" width="26" style="2" customWidth="1"/>
    <col min="9" max="9" width="17.85546875" style="2" customWidth="1"/>
    <col min="10" max="10" width="9.140625" style="2"/>
    <col min="11" max="11" width="54.28515625" style="2" customWidth="1"/>
    <col min="12" max="16384" width="9.140625" style="2"/>
  </cols>
  <sheetData>
    <row r="1" spans="1:13" ht="34.5" thickBot="1" x14ac:dyDescent="0.55000000000000004">
      <c r="A1" s="289" t="str">
        <f>PROPER(IF(E16="Schein","Henry Schein Crash Cart Auto-Replenishment Program",IF(SUMPRODUCT(--(ISNA(MATCH(E16,'Version and Lists'!A3:A9,0))))&gt;0,"Crash Cart Auto-Replenishment Program",E16&amp;" Crash Cart Auto-Replenishment Program")))</f>
        <v>Crash Cart Auto-Replenishment Program</v>
      </c>
      <c r="B1" s="290"/>
      <c r="C1" s="290"/>
      <c r="D1" s="290"/>
      <c r="E1" s="290"/>
      <c r="F1" s="290"/>
      <c r="G1" s="290"/>
      <c r="H1" s="290"/>
      <c r="I1" s="290"/>
      <c r="J1" s="290"/>
      <c r="K1" s="290"/>
      <c r="M1" s="69"/>
    </row>
    <row r="2" spans="1:13" ht="27" thickBot="1" x14ac:dyDescent="0.45">
      <c r="A2" s="291" t="s">
        <v>45</v>
      </c>
      <c r="B2" s="292"/>
      <c r="C2" s="292"/>
      <c r="D2" s="292"/>
      <c r="E2" s="292"/>
      <c r="F2" s="292"/>
      <c r="G2" s="292"/>
      <c r="H2" s="292"/>
      <c r="I2" s="292"/>
      <c r="J2" s="292"/>
      <c r="K2" s="292"/>
    </row>
    <row r="3" spans="1:13" s="3" customFormat="1" ht="21.75" customHeight="1" thickBot="1" x14ac:dyDescent="0.3">
      <c r="A3" s="298" t="s">
        <v>53</v>
      </c>
      <c r="B3" s="299"/>
      <c r="C3" s="299"/>
      <c r="D3" s="299"/>
      <c r="E3" s="299"/>
      <c r="F3" s="299"/>
      <c r="G3" s="299"/>
      <c r="H3" s="299"/>
      <c r="I3" s="299"/>
      <c r="J3" s="299"/>
      <c r="K3" s="299"/>
    </row>
    <row r="4" spans="1:13" s="20" customFormat="1" ht="27" customHeight="1" x14ac:dyDescent="0.4">
      <c r="A4" s="28"/>
      <c r="B4" s="29"/>
      <c r="C4" s="29"/>
      <c r="D4" s="29"/>
      <c r="E4" s="29"/>
      <c r="F4" s="29"/>
      <c r="G4" s="29"/>
      <c r="H4" s="29"/>
      <c r="I4" s="29"/>
      <c r="J4" s="29"/>
      <c r="K4" s="29"/>
    </row>
    <row r="5" spans="1:13" s="20" customFormat="1" ht="27" customHeight="1" thickBot="1" x14ac:dyDescent="0.45">
      <c r="A5" s="388" t="s">
        <v>54</v>
      </c>
      <c r="B5" s="389"/>
      <c r="C5" s="389"/>
      <c r="D5" s="389"/>
      <c r="E5" s="389"/>
      <c r="F5" s="389"/>
      <c r="G5" s="390"/>
      <c r="H5" s="391" t="str">
        <f>'Cart Formulary Calculator'!F4</f>
        <v>Does not meet $500 minimum</v>
      </c>
      <c r="I5" s="392"/>
      <c r="J5" s="392"/>
      <c r="K5" s="392"/>
    </row>
    <row r="6" spans="1:13" s="3" customFormat="1" ht="18.75" x14ac:dyDescent="0.3">
      <c r="A6" s="293" t="s">
        <v>26</v>
      </c>
      <c r="B6" s="293"/>
      <c r="C6" s="293"/>
      <c r="D6" s="293"/>
      <c r="E6" s="293"/>
      <c r="F6" s="293"/>
      <c r="G6" s="293"/>
      <c r="H6" s="293"/>
      <c r="I6" s="293"/>
      <c r="J6" s="293"/>
      <c r="K6" s="293"/>
    </row>
    <row r="7" spans="1:13" s="3" customFormat="1" ht="15.75" thickBot="1" x14ac:dyDescent="0.3"/>
    <row r="8" spans="1:13" ht="31.5" x14ac:dyDescent="0.5">
      <c r="A8" s="300" t="s">
        <v>27</v>
      </c>
      <c r="B8" s="301"/>
      <c r="C8" s="301"/>
      <c r="D8" s="301"/>
      <c r="E8" s="301"/>
      <c r="F8" s="301"/>
      <c r="G8" s="301"/>
      <c r="H8" s="301"/>
      <c r="I8" s="301"/>
      <c r="J8" s="301"/>
      <c r="K8" s="302"/>
    </row>
    <row r="9" spans="1:13" ht="21" customHeight="1" x14ac:dyDescent="0.3">
      <c r="A9" s="26">
        <v>1</v>
      </c>
      <c r="B9" s="303" t="s">
        <v>50</v>
      </c>
      <c r="C9" s="303"/>
      <c r="D9" s="303"/>
      <c r="E9" s="303"/>
      <c r="F9" s="303"/>
      <c r="G9" s="303"/>
      <c r="H9" s="303"/>
      <c r="I9" s="303"/>
      <c r="J9" s="303"/>
      <c r="K9" s="304"/>
    </row>
    <row r="10" spans="1:13" ht="21" x14ac:dyDescent="0.35">
      <c r="A10" s="26">
        <v>2</v>
      </c>
      <c r="B10" s="25" t="s">
        <v>51</v>
      </c>
      <c r="C10" s="25"/>
      <c r="D10" s="25"/>
      <c r="E10" s="25"/>
      <c r="F10" s="25"/>
      <c r="G10" s="25"/>
      <c r="H10" s="25"/>
      <c r="I10" s="25"/>
      <c r="J10" s="25"/>
      <c r="K10" s="27"/>
    </row>
    <row r="11" spans="1:13" s="11" customFormat="1" ht="21" x14ac:dyDescent="0.35">
      <c r="A11" s="26">
        <v>3</v>
      </c>
      <c r="B11" s="25" t="s">
        <v>52</v>
      </c>
      <c r="C11" s="25"/>
      <c r="D11" s="25"/>
      <c r="E11" s="25"/>
      <c r="F11" s="25"/>
      <c r="G11" s="25"/>
      <c r="H11" s="25"/>
      <c r="I11" s="25"/>
      <c r="J11" s="25"/>
      <c r="K11" s="27"/>
    </row>
    <row r="12" spans="1:13" s="11" customFormat="1" ht="41.25" customHeight="1" thickBot="1" x14ac:dyDescent="0.4">
      <c r="A12" s="85">
        <v>4</v>
      </c>
      <c r="B12" s="317" t="s">
        <v>96</v>
      </c>
      <c r="C12" s="317"/>
      <c r="D12" s="317"/>
      <c r="E12" s="317"/>
      <c r="F12" s="317"/>
      <c r="G12" s="317"/>
      <c r="H12" s="317"/>
      <c r="I12" s="317"/>
      <c r="J12" s="317"/>
      <c r="K12" s="318"/>
    </row>
    <row r="13" spans="1:13" ht="15.75" thickBot="1" x14ac:dyDescent="0.3"/>
    <row r="14" spans="1:13" ht="27" thickBot="1" x14ac:dyDescent="0.45">
      <c r="A14" s="305" t="s">
        <v>21</v>
      </c>
      <c r="B14" s="306"/>
      <c r="C14" s="306"/>
      <c r="D14" s="306"/>
      <c r="E14" s="306"/>
      <c r="F14" s="306"/>
      <c r="G14" s="306"/>
      <c r="H14" s="306"/>
      <c r="I14" s="306"/>
      <c r="J14" s="306"/>
      <c r="K14" s="307"/>
      <c r="M14" s="22"/>
    </row>
    <row r="15" spans="1:13" s="21" customFormat="1" ht="21.75" thickBot="1" x14ac:dyDescent="0.4">
      <c r="A15" s="308" t="s">
        <v>35</v>
      </c>
      <c r="B15" s="309"/>
      <c r="C15" s="309"/>
      <c r="D15" s="309"/>
      <c r="E15" s="309"/>
      <c r="F15" s="309"/>
      <c r="G15" s="309"/>
      <c r="H15" s="309"/>
      <c r="I15" s="309"/>
      <c r="J15" s="309"/>
      <c r="K15" s="310"/>
      <c r="M15" s="22"/>
    </row>
    <row r="16" spans="1:13" s="21" customFormat="1" ht="21" x14ac:dyDescent="0.35">
      <c r="A16" s="311" t="s">
        <v>70</v>
      </c>
      <c r="B16" s="312"/>
      <c r="C16" s="312"/>
      <c r="D16" s="313"/>
      <c r="E16" s="319" t="s">
        <v>65</v>
      </c>
      <c r="F16" s="320"/>
      <c r="G16" s="320"/>
      <c r="H16" s="320"/>
      <c r="I16" s="320"/>
      <c r="J16" s="320"/>
      <c r="K16" s="321"/>
      <c r="M16" s="22"/>
    </row>
    <row r="17" spans="1:13" s="21" customFormat="1" ht="21" x14ac:dyDescent="0.35">
      <c r="A17" s="311" t="s">
        <v>3</v>
      </c>
      <c r="B17" s="312"/>
      <c r="C17" s="312"/>
      <c r="D17" s="313"/>
      <c r="E17" s="319" t="s">
        <v>65</v>
      </c>
      <c r="F17" s="320"/>
      <c r="G17" s="320"/>
      <c r="H17" s="320"/>
      <c r="I17" s="320"/>
      <c r="J17" s="320"/>
      <c r="K17" s="321"/>
      <c r="M17" s="22"/>
    </row>
    <row r="18" spans="1:13" s="21" customFormat="1" ht="21" x14ac:dyDescent="0.35">
      <c r="A18" s="311" t="s">
        <v>175</v>
      </c>
      <c r="B18" s="312"/>
      <c r="C18" s="312"/>
      <c r="D18" s="313"/>
      <c r="E18" s="319" t="s">
        <v>65</v>
      </c>
      <c r="F18" s="320"/>
      <c r="G18" s="320"/>
      <c r="H18" s="320"/>
      <c r="I18" s="320"/>
      <c r="J18" s="320"/>
      <c r="K18" s="321"/>
      <c r="M18" s="22"/>
    </row>
    <row r="19" spans="1:13" s="21" customFormat="1" ht="21" x14ac:dyDescent="0.35">
      <c r="A19" s="311" t="s">
        <v>149</v>
      </c>
      <c r="B19" s="312"/>
      <c r="C19" s="312"/>
      <c r="D19" s="313"/>
      <c r="E19" s="319" t="s">
        <v>65</v>
      </c>
      <c r="F19" s="320"/>
      <c r="G19" s="320"/>
      <c r="H19" s="320"/>
      <c r="I19" s="320"/>
      <c r="J19" s="320"/>
      <c r="K19" s="321"/>
      <c r="M19" s="22"/>
    </row>
    <row r="20" spans="1:13" s="21" customFormat="1" ht="21" x14ac:dyDescent="0.35">
      <c r="A20" s="311" t="s">
        <v>150</v>
      </c>
      <c r="B20" s="312"/>
      <c r="C20" s="312"/>
      <c r="D20" s="313"/>
      <c r="E20" s="319" t="s">
        <v>65</v>
      </c>
      <c r="F20" s="320"/>
      <c r="G20" s="320"/>
      <c r="H20" s="320"/>
      <c r="I20" s="320"/>
      <c r="J20" s="320"/>
      <c r="K20" s="321"/>
      <c r="M20" s="22"/>
    </row>
    <row r="21" spans="1:13" s="21" customFormat="1" ht="21" x14ac:dyDescent="0.35">
      <c r="A21" s="311" t="s">
        <v>152</v>
      </c>
      <c r="B21" s="312"/>
      <c r="C21" s="312"/>
      <c r="D21" s="313"/>
      <c r="E21" s="319" t="s">
        <v>65</v>
      </c>
      <c r="F21" s="320"/>
      <c r="G21" s="320"/>
      <c r="H21" s="320"/>
      <c r="I21" s="320"/>
      <c r="J21" s="320"/>
      <c r="K21" s="321"/>
      <c r="M21" s="22"/>
    </row>
    <row r="22" spans="1:13" s="21" customFormat="1" ht="21" x14ac:dyDescent="0.35">
      <c r="A22" s="311" t="s">
        <v>151</v>
      </c>
      <c r="B22" s="312"/>
      <c r="C22" s="312"/>
      <c r="D22" s="313"/>
      <c r="E22" s="319" t="s">
        <v>65</v>
      </c>
      <c r="F22" s="320"/>
      <c r="G22" s="320"/>
      <c r="H22" s="320"/>
      <c r="I22" s="320"/>
      <c r="J22" s="320"/>
      <c r="K22" s="321"/>
      <c r="M22" s="22"/>
    </row>
    <row r="23" spans="1:13" s="21" customFormat="1" ht="21" x14ac:dyDescent="0.35">
      <c r="A23" s="311" t="s">
        <v>12</v>
      </c>
      <c r="B23" s="312"/>
      <c r="C23" s="312"/>
      <c r="D23" s="313"/>
      <c r="E23" s="319" t="s">
        <v>65</v>
      </c>
      <c r="F23" s="320"/>
      <c r="G23" s="320"/>
      <c r="H23" s="320"/>
      <c r="I23" s="320"/>
      <c r="J23" s="320"/>
      <c r="K23" s="321"/>
      <c r="M23" s="22"/>
    </row>
    <row r="24" spans="1:13" s="21" customFormat="1" ht="21" x14ac:dyDescent="0.35">
      <c r="A24" s="311" t="s">
        <v>5</v>
      </c>
      <c r="B24" s="312"/>
      <c r="C24" s="312"/>
      <c r="D24" s="313"/>
      <c r="E24" s="322" t="s">
        <v>65</v>
      </c>
      <c r="F24" s="323"/>
      <c r="G24" s="323"/>
      <c r="H24" s="323"/>
      <c r="I24" s="323"/>
      <c r="J24" s="323"/>
      <c r="K24" s="324"/>
      <c r="M24" s="22"/>
    </row>
    <row r="25" spans="1:13" s="21" customFormat="1" ht="21" x14ac:dyDescent="0.35">
      <c r="A25" s="311" t="s">
        <v>6</v>
      </c>
      <c r="B25" s="312"/>
      <c r="C25" s="312"/>
      <c r="D25" s="313"/>
      <c r="E25" s="322" t="s">
        <v>65</v>
      </c>
      <c r="F25" s="323"/>
      <c r="G25" s="323"/>
      <c r="H25" s="323"/>
      <c r="I25" s="323"/>
      <c r="J25" s="323"/>
      <c r="K25" s="324"/>
      <c r="M25" s="22"/>
    </row>
    <row r="26" spans="1:13" s="21" customFormat="1" ht="21" x14ac:dyDescent="0.35">
      <c r="A26" s="311" t="s">
        <v>91</v>
      </c>
      <c r="B26" s="312"/>
      <c r="C26" s="312"/>
      <c r="D26" s="313"/>
      <c r="E26" s="319"/>
      <c r="F26" s="320"/>
      <c r="G26" s="320"/>
      <c r="H26" s="320"/>
      <c r="I26" s="320"/>
      <c r="J26" s="320"/>
      <c r="K26" s="321"/>
      <c r="M26" s="22"/>
    </row>
    <row r="27" spans="1:13" s="21" customFormat="1" ht="21" x14ac:dyDescent="0.35">
      <c r="A27" s="311" t="s">
        <v>133</v>
      </c>
      <c r="B27" s="312"/>
      <c r="C27" s="312"/>
      <c r="D27" s="313"/>
      <c r="E27" s="322"/>
      <c r="F27" s="323"/>
      <c r="G27" s="323"/>
      <c r="H27" s="323"/>
      <c r="I27" s="323"/>
      <c r="J27" s="323"/>
      <c r="K27" s="324"/>
      <c r="M27" s="22"/>
    </row>
    <row r="28" spans="1:13" s="21" customFormat="1" ht="21" x14ac:dyDescent="0.35">
      <c r="A28" s="311" t="s">
        <v>172</v>
      </c>
      <c r="B28" s="312"/>
      <c r="C28" s="312"/>
      <c r="D28" s="313"/>
      <c r="E28" s="319"/>
      <c r="F28" s="320"/>
      <c r="G28" s="320"/>
      <c r="H28" s="320"/>
      <c r="I28" s="320"/>
      <c r="J28" s="320"/>
      <c r="K28" s="321"/>
      <c r="M28" s="22"/>
    </row>
    <row r="29" spans="1:13" s="21" customFormat="1" ht="21" x14ac:dyDescent="0.35">
      <c r="A29" s="311" t="s">
        <v>62</v>
      </c>
      <c r="B29" s="312"/>
      <c r="C29" s="312"/>
      <c r="D29" s="313"/>
      <c r="E29" s="319" t="s">
        <v>65</v>
      </c>
      <c r="F29" s="320"/>
      <c r="G29" s="320"/>
      <c r="H29" s="320"/>
      <c r="I29" s="320"/>
      <c r="J29" s="320"/>
      <c r="K29" s="321"/>
      <c r="M29" s="22"/>
    </row>
    <row r="30" spans="1:13" s="21" customFormat="1" ht="21" x14ac:dyDescent="0.35">
      <c r="A30" s="311" t="s">
        <v>23</v>
      </c>
      <c r="B30" s="312"/>
      <c r="C30" s="312"/>
      <c r="D30" s="313"/>
      <c r="E30" s="319" t="s">
        <v>65</v>
      </c>
      <c r="F30" s="320"/>
      <c r="G30" s="320"/>
      <c r="H30" s="320"/>
      <c r="I30" s="320"/>
      <c r="J30" s="320"/>
      <c r="K30" s="321"/>
    </row>
    <row r="31" spans="1:13" s="21" customFormat="1" ht="21" x14ac:dyDescent="0.35">
      <c r="A31" s="311" t="s">
        <v>46</v>
      </c>
      <c r="B31" s="312"/>
      <c r="C31" s="312"/>
      <c r="D31" s="313"/>
      <c r="E31" s="319"/>
      <c r="F31" s="320"/>
      <c r="G31" s="320"/>
      <c r="H31" s="320"/>
      <c r="I31" s="320"/>
      <c r="J31" s="320"/>
      <c r="K31" s="321"/>
    </row>
    <row r="32" spans="1:13" s="21" customFormat="1" ht="21" x14ac:dyDescent="0.35">
      <c r="A32" s="311" t="s">
        <v>18</v>
      </c>
      <c r="B32" s="312"/>
      <c r="C32" s="312"/>
      <c r="D32" s="313"/>
      <c r="E32" s="319"/>
      <c r="F32" s="320"/>
      <c r="G32" s="320"/>
      <c r="H32" s="320"/>
      <c r="I32" s="320"/>
      <c r="J32" s="320"/>
      <c r="K32" s="321"/>
    </row>
    <row r="33" spans="1:11" s="21" customFormat="1" ht="21" x14ac:dyDescent="0.35">
      <c r="A33" s="311" t="s">
        <v>47</v>
      </c>
      <c r="B33" s="312"/>
      <c r="C33" s="312"/>
      <c r="D33" s="313"/>
      <c r="E33" s="319"/>
      <c r="F33" s="320"/>
      <c r="G33" s="320"/>
      <c r="H33" s="320"/>
      <c r="I33" s="320"/>
      <c r="J33" s="320"/>
      <c r="K33" s="321"/>
    </row>
    <row r="34" spans="1:11" s="21" customFormat="1" ht="21" x14ac:dyDescent="0.35">
      <c r="A34" s="311" t="s">
        <v>15</v>
      </c>
      <c r="B34" s="312"/>
      <c r="C34" s="312"/>
      <c r="D34" s="313"/>
      <c r="E34" s="319" t="s">
        <v>65</v>
      </c>
      <c r="F34" s="320"/>
      <c r="G34" s="320"/>
      <c r="H34" s="320"/>
      <c r="I34" s="320"/>
      <c r="J34" s="320"/>
      <c r="K34" s="321"/>
    </row>
    <row r="35" spans="1:11" s="21" customFormat="1" ht="21" x14ac:dyDescent="0.35">
      <c r="A35" s="311" t="s">
        <v>30</v>
      </c>
      <c r="B35" s="312"/>
      <c r="C35" s="312"/>
      <c r="D35" s="313"/>
      <c r="E35" s="319" t="s">
        <v>65</v>
      </c>
      <c r="F35" s="320"/>
      <c r="G35" s="320"/>
      <c r="H35" s="320"/>
      <c r="I35" s="320"/>
      <c r="J35" s="320"/>
      <c r="K35" s="321"/>
    </row>
    <row r="36" spans="1:11" s="21" customFormat="1" ht="21" x14ac:dyDescent="0.35">
      <c r="A36" s="325" t="s">
        <v>31</v>
      </c>
      <c r="B36" s="326"/>
      <c r="C36" s="326"/>
      <c r="D36" s="327"/>
      <c r="E36" s="319" t="s">
        <v>65</v>
      </c>
      <c r="F36" s="320"/>
      <c r="G36" s="320"/>
      <c r="H36" s="320"/>
      <c r="I36" s="320"/>
      <c r="J36" s="320"/>
      <c r="K36" s="321"/>
    </row>
    <row r="37" spans="1:11" s="21" customFormat="1" ht="21" x14ac:dyDescent="0.35">
      <c r="A37" s="24" t="s">
        <v>48</v>
      </c>
      <c r="B37" s="24"/>
      <c r="C37" s="24"/>
      <c r="D37" s="24"/>
      <c r="E37" s="319"/>
      <c r="F37" s="320"/>
      <c r="G37" s="320"/>
      <c r="H37" s="320"/>
      <c r="I37" s="320"/>
      <c r="J37" s="320"/>
      <c r="K37" s="321"/>
    </row>
    <row r="38" spans="1:11" s="21" customFormat="1" ht="21" x14ac:dyDescent="0.35">
      <c r="A38" s="24" t="s">
        <v>49</v>
      </c>
      <c r="B38" s="24"/>
      <c r="C38" s="24"/>
      <c r="D38" s="24"/>
      <c r="E38" s="319"/>
      <c r="F38" s="320"/>
      <c r="G38" s="320"/>
      <c r="H38" s="320"/>
      <c r="I38" s="320"/>
      <c r="J38" s="320"/>
      <c r="K38" s="321"/>
    </row>
    <row r="39" spans="1:11" ht="21" x14ac:dyDescent="0.35">
      <c r="A39" s="23" t="s">
        <v>22</v>
      </c>
      <c r="B39" s="24"/>
      <c r="C39" s="24"/>
      <c r="D39" s="24"/>
      <c r="E39" s="319"/>
      <c r="F39" s="320"/>
      <c r="G39" s="320"/>
      <c r="H39" s="320"/>
      <c r="I39" s="320"/>
      <c r="J39" s="320"/>
      <c r="K39" s="321"/>
    </row>
    <row r="40" spans="1:11" ht="21" x14ac:dyDescent="0.35">
      <c r="A40" s="311" t="s">
        <v>19</v>
      </c>
      <c r="B40" s="312"/>
      <c r="C40" s="312"/>
      <c r="D40" s="313"/>
      <c r="E40" s="319" t="s">
        <v>65</v>
      </c>
      <c r="F40" s="320"/>
      <c r="G40" s="320"/>
      <c r="H40" s="320"/>
      <c r="I40" s="320"/>
      <c r="J40" s="320"/>
      <c r="K40" s="321"/>
    </row>
    <row r="41" spans="1:11" ht="21" x14ac:dyDescent="0.35">
      <c r="A41" s="311" t="s">
        <v>20</v>
      </c>
      <c r="B41" s="312"/>
      <c r="C41" s="312"/>
      <c r="D41" s="313"/>
      <c r="E41" s="319" t="s">
        <v>65</v>
      </c>
      <c r="F41" s="320"/>
      <c r="G41" s="320"/>
      <c r="H41" s="320"/>
      <c r="I41" s="320"/>
      <c r="J41" s="320"/>
      <c r="K41" s="321"/>
    </row>
    <row r="42" spans="1:11" ht="21" x14ac:dyDescent="0.35">
      <c r="A42" s="311" t="s">
        <v>32</v>
      </c>
      <c r="B42" s="312"/>
      <c r="C42" s="312"/>
      <c r="D42" s="313"/>
      <c r="E42" s="319" t="s">
        <v>65</v>
      </c>
      <c r="F42" s="320"/>
      <c r="G42" s="320"/>
      <c r="H42" s="320"/>
      <c r="I42" s="320"/>
      <c r="J42" s="320"/>
      <c r="K42" s="321"/>
    </row>
    <row r="44" spans="1:11" ht="23.25" x14ac:dyDescent="0.35">
      <c r="A44" s="32"/>
    </row>
    <row r="45" spans="1:11" ht="31.5" x14ac:dyDescent="0.5">
      <c r="A45" s="33" t="s">
        <v>55</v>
      </c>
      <c r="C45" s="57" t="s">
        <v>129</v>
      </c>
      <c r="D45" s="97" t="str">
        <f>IF(E16="medline",HYPERLINK("https://www.healthfirst.com/medline/terms/","Terms and Conditions"),HYPERLINK("https://www.healthfirst.com/medications/crash-cart-replenishment/terms/","Terms and Conditions"))</f>
        <v>Terms and Conditions</v>
      </c>
    </row>
    <row r="46" spans="1:11" ht="21" x14ac:dyDescent="0.35">
      <c r="C46" s="65"/>
      <c r="D46" s="65" t="s">
        <v>66</v>
      </c>
    </row>
    <row r="47" spans="1:11" ht="23.25" x14ac:dyDescent="0.35">
      <c r="F47" s="30"/>
      <c r="G47" s="30"/>
      <c r="H47" s="30"/>
      <c r="J47" s="31"/>
    </row>
    <row r="48" spans="1:11" s="34" customFormat="1" ht="21.75" thickBot="1" x14ac:dyDescent="0.4">
      <c r="E48" s="35"/>
      <c r="G48" s="35"/>
      <c r="H48" s="35"/>
    </row>
    <row r="49" spans="1:8" s="34" customFormat="1" ht="32.25" thickBot="1" x14ac:dyDescent="0.55000000000000004">
      <c r="A49" s="36" t="s">
        <v>56</v>
      </c>
      <c r="C49" s="57" t="s">
        <v>59</v>
      </c>
      <c r="D49" s="68"/>
      <c r="E49" s="57" t="s">
        <v>117</v>
      </c>
      <c r="F49" s="94"/>
      <c r="G49" s="61" t="s">
        <v>128</v>
      </c>
    </row>
    <row r="50" spans="1:8" s="34" customFormat="1" ht="21.95" customHeight="1" thickBot="1" x14ac:dyDescent="0.3">
      <c r="D50" s="52" t="s">
        <v>94</v>
      </c>
    </row>
    <row r="51" spans="1:8" s="34" customFormat="1" ht="30" customHeight="1" x14ac:dyDescent="0.35">
      <c r="A51" s="66"/>
      <c r="B51" s="67" t="str">
        <f>IF($E$16="Healthfirst","Select Billing:",IF($E$16="Henry Schein","",IF('Standard Cart Pricing Formulas'!Q25="Medline","",IF($E$16="Required Field","",""))))</f>
        <v/>
      </c>
      <c r="C51" s="67"/>
      <c r="D51" s="331" t="s">
        <v>90</v>
      </c>
    </row>
    <row r="52" spans="1:8" s="34" customFormat="1" ht="19.5" thickBot="1" x14ac:dyDescent="0.35">
      <c r="A52" s="329"/>
      <c r="B52" s="329"/>
      <c r="D52" s="332"/>
    </row>
    <row r="53" spans="1:8" s="34" customFormat="1" ht="18.75" x14ac:dyDescent="0.3">
      <c r="A53" s="91"/>
      <c r="B53" s="91"/>
      <c r="D53" s="331" t="s">
        <v>127</v>
      </c>
    </row>
    <row r="54" spans="1:8" s="34" customFormat="1" ht="18.75" x14ac:dyDescent="0.3">
      <c r="A54" s="91"/>
      <c r="B54" s="91"/>
      <c r="D54" s="333"/>
    </row>
    <row r="55" spans="1:8" s="34" customFormat="1" ht="19.5" thickBot="1" x14ac:dyDescent="0.35">
      <c r="A55" s="91"/>
      <c r="B55" s="91"/>
      <c r="D55" s="332"/>
    </row>
    <row r="56" spans="1:8" ht="18.75" x14ac:dyDescent="0.3">
      <c r="A56" s="330"/>
      <c r="B56" s="330"/>
    </row>
    <row r="57" spans="1:8" ht="31.5" x14ac:dyDescent="0.5">
      <c r="A57" s="33" t="s">
        <v>57</v>
      </c>
      <c r="C57" s="58" t="s">
        <v>155</v>
      </c>
      <c r="D57" s="58"/>
      <c r="E57" s="59"/>
      <c r="F57" s="60"/>
      <c r="G57" s="60"/>
      <c r="H57" s="60"/>
    </row>
    <row r="58" spans="1:8" x14ac:dyDescent="0.25">
      <c r="F58" s="96">
        <v>1</v>
      </c>
    </row>
    <row r="59" spans="1:8" ht="21.75" customHeight="1" x14ac:dyDescent="0.25">
      <c r="D59" s="63"/>
      <c r="E59" s="70">
        <v>1</v>
      </c>
    </row>
    <row r="61" spans="1:8" x14ac:dyDescent="0.25">
      <c r="D61" s="62"/>
    </row>
    <row r="62" spans="1:8" x14ac:dyDescent="0.25">
      <c r="D62" s="62"/>
    </row>
    <row r="63" spans="1:8" x14ac:dyDescent="0.25">
      <c r="B63" s="393" t="str">
        <f>'Version and Lists'!D2</f>
        <v>V 89 07/17/2026</v>
      </c>
      <c r="C63" s="393"/>
      <c r="D63" s="90"/>
    </row>
    <row r="64" spans="1:8" x14ac:dyDescent="0.25">
      <c r="D64" s="62"/>
    </row>
    <row r="65" spans="4:4" x14ac:dyDescent="0.25">
      <c r="D65" s="62"/>
    </row>
    <row r="66" spans="4:4" x14ac:dyDescent="0.25">
      <c r="D66" s="62"/>
    </row>
    <row r="67" spans="4:4" x14ac:dyDescent="0.25">
      <c r="D67" s="62"/>
    </row>
    <row r="68" spans="4:4" x14ac:dyDescent="0.25">
      <c r="D68" s="62"/>
    </row>
  </sheetData>
  <sheetProtection algorithmName="SHA-512" hashValue="8HJ4PJ7Clq7133CE0xbbIp0fbl8hpUJVe1dUi0kYfFBKhnNgTfAbcdfv8ZoZche2QeFgPJzPVSpxKrTlUgPliw==" saltValue="K7VhCX0v64vOkFXLWEZalQ==" spinCount="100000" sheet="1" autoFilter="0"/>
  <mergeCells count="67">
    <mergeCell ref="A18:D18"/>
    <mergeCell ref="E18:K18"/>
    <mergeCell ref="E28:K28"/>
    <mergeCell ref="D51:D52"/>
    <mergeCell ref="E41:K41"/>
    <mergeCell ref="E42:K42"/>
    <mergeCell ref="A40:D40"/>
    <mergeCell ref="A32:D32"/>
    <mergeCell ref="A42:D42"/>
    <mergeCell ref="A31:D31"/>
    <mergeCell ref="E34:K34"/>
    <mergeCell ref="A41:D41"/>
    <mergeCell ref="E35:K35"/>
    <mergeCell ref="A34:D34"/>
    <mergeCell ref="A35:D35"/>
    <mergeCell ref="A33:D33"/>
    <mergeCell ref="E19:K19"/>
    <mergeCell ref="E23:K23"/>
    <mergeCell ref="E26:K26"/>
    <mergeCell ref="A24:D24"/>
    <mergeCell ref="A25:D25"/>
    <mergeCell ref="E24:K24"/>
    <mergeCell ref="E25:K25"/>
    <mergeCell ref="A26:D26"/>
    <mergeCell ref="B63:C63"/>
    <mergeCell ref="E38:K38"/>
    <mergeCell ref="E36:K36"/>
    <mergeCell ref="E29:K29"/>
    <mergeCell ref="E32:K32"/>
    <mergeCell ref="E33:K33"/>
    <mergeCell ref="E37:K37"/>
    <mergeCell ref="A36:D36"/>
    <mergeCell ref="A52:B52"/>
    <mergeCell ref="A56:B56"/>
    <mergeCell ref="E39:K39"/>
    <mergeCell ref="E40:K40"/>
    <mergeCell ref="A29:D29"/>
    <mergeCell ref="D53:D55"/>
    <mergeCell ref="E30:K30"/>
    <mergeCell ref="E31:K31"/>
    <mergeCell ref="A15:K15"/>
    <mergeCell ref="A1:K1"/>
    <mergeCell ref="A2:K2"/>
    <mergeCell ref="A5:G5"/>
    <mergeCell ref="H5:K5"/>
    <mergeCell ref="A8:K8"/>
    <mergeCell ref="A6:K6"/>
    <mergeCell ref="A14:K14"/>
    <mergeCell ref="B9:K9"/>
    <mergeCell ref="B12:K12"/>
    <mergeCell ref="A3:K3"/>
    <mergeCell ref="E16:K16"/>
    <mergeCell ref="A23:D23"/>
    <mergeCell ref="A30:D30"/>
    <mergeCell ref="A20:D20"/>
    <mergeCell ref="A22:D22"/>
    <mergeCell ref="E20:K20"/>
    <mergeCell ref="E21:K21"/>
    <mergeCell ref="E22:K22"/>
    <mergeCell ref="A16:D16"/>
    <mergeCell ref="A17:D17"/>
    <mergeCell ref="A19:D19"/>
    <mergeCell ref="A28:D28"/>
    <mergeCell ref="A27:D27"/>
    <mergeCell ref="E27:K27"/>
    <mergeCell ref="A21:D21"/>
    <mergeCell ref="E17:K17"/>
  </mergeCells>
  <dataValidations count="2">
    <dataValidation type="date" allowBlank="1" showInputMessage="1" showErrorMessage="1" errorTitle="Date Required" error="Please enter the date" sqref="F49" xr:uid="{9F795095-C1B9-42AB-ADFA-9A7425DDADF1}">
      <formula1>44927</formula1>
      <formula2>72686</formula2>
    </dataValidation>
    <dataValidation type="list" showInputMessage="1" showErrorMessage="1" errorTitle="Incorrect Option Selected" error="Please use the dropdown icon to select either &quot;Yes&quot; or &quot;No&quot;" sqref="E18:K18" xr:uid="{10B64A84-49C2-41E4-BDA3-80D2046495FA}">
      <formula1>"Required Field, Yes, No"</formula1>
    </dataValidation>
  </dataValidations>
  <pageMargins left="0.7" right="0.7" top="0.75" bottom="0.75" header="0.3" footer="0.3"/>
  <pageSetup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0" r:id="rId4" name="Check Box 12">
              <controlPr locked="0" defaultSize="0" autoFill="0" autoLine="0" autoPict="0">
                <anchor moveWithCells="1">
                  <from>
                    <xdr:col>3</xdr:col>
                    <xdr:colOff>9525</xdr:colOff>
                    <xdr:row>49</xdr:row>
                    <xdr:rowOff>314325</xdr:rowOff>
                  </from>
                  <to>
                    <xdr:col>3</xdr:col>
                    <xdr:colOff>342900</xdr:colOff>
                    <xdr:row>51</xdr:row>
                    <xdr:rowOff>85725</xdr:rowOff>
                  </to>
                </anchor>
              </controlPr>
            </control>
          </mc:Choice>
        </mc:AlternateContent>
        <mc:AlternateContent xmlns:mc="http://schemas.openxmlformats.org/markup-compatibility/2006">
          <mc:Choice Requires="x14">
            <control shapeId="2061" r:id="rId5" name="Check Box 13">
              <controlPr locked="0" defaultSize="0" autoFill="0" autoLine="0" autoPict="0">
                <anchor moveWithCells="1">
                  <from>
                    <xdr:col>3</xdr:col>
                    <xdr:colOff>9525</xdr:colOff>
                    <xdr:row>49</xdr:row>
                    <xdr:rowOff>314325</xdr:rowOff>
                  </from>
                  <to>
                    <xdr:col>3</xdr:col>
                    <xdr:colOff>342900</xdr:colOff>
                    <xdr:row>51</xdr:row>
                    <xdr:rowOff>85725</xdr:rowOff>
                  </to>
                </anchor>
              </controlPr>
            </control>
          </mc:Choice>
        </mc:AlternateContent>
        <mc:AlternateContent xmlns:mc="http://schemas.openxmlformats.org/markup-compatibility/2006">
          <mc:Choice Requires="x14">
            <control shapeId="2063" r:id="rId6" name="Check Box 15">
              <controlPr locked="0" defaultSize="0" autoFill="0" autoLine="0" autoPict="0">
                <anchor moveWithCells="1">
                  <from>
                    <xdr:col>3</xdr:col>
                    <xdr:colOff>9525</xdr:colOff>
                    <xdr:row>51</xdr:row>
                    <xdr:rowOff>228600</xdr:rowOff>
                  </from>
                  <to>
                    <xdr:col>3</xdr:col>
                    <xdr:colOff>266700</xdr:colOff>
                    <xdr:row>53</xdr:row>
                    <xdr:rowOff>104775</xdr:rowOff>
                  </to>
                </anchor>
              </controlPr>
            </control>
          </mc:Choice>
        </mc:AlternateContent>
        <mc:AlternateContent xmlns:mc="http://schemas.openxmlformats.org/markup-compatibility/2006">
          <mc:Choice Requires="x14">
            <control shapeId="2065" r:id="rId7" name="Check Box 17">
              <controlPr defaultSize="0" autoFill="0" autoLine="0" autoPict="0">
                <anchor moveWithCells="1">
                  <from>
                    <xdr:col>3</xdr:col>
                    <xdr:colOff>304800</xdr:colOff>
                    <xdr:row>44</xdr:row>
                    <xdr:rowOff>323850</xdr:rowOff>
                  </from>
                  <to>
                    <xdr:col>3</xdr:col>
                    <xdr:colOff>638175</xdr:colOff>
                    <xdr:row>46</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D1393-A198-40FA-A68C-C55242574A61}">
  <sheetPr codeName="Sheet9">
    <tabColor rgb="FFA3E7FF"/>
    <pageSetUpPr fitToPage="1"/>
  </sheetPr>
  <dimension ref="A1:M67"/>
  <sheetViews>
    <sheetView showGridLines="0" zoomScale="85" zoomScaleNormal="85" workbookViewId="0">
      <selection activeCell="E29" sqref="E29:K29"/>
    </sheetView>
  </sheetViews>
  <sheetFormatPr defaultColWidth="9.140625" defaultRowHeight="15" x14ac:dyDescent="0.25"/>
  <cols>
    <col min="1" max="1" width="4.7109375" style="2" customWidth="1"/>
    <col min="2" max="2" width="11.42578125" style="2" customWidth="1"/>
    <col min="3" max="3" width="12.42578125" style="2" customWidth="1"/>
    <col min="4" max="4" width="76.5703125" style="2" customWidth="1"/>
    <col min="5" max="5" width="9.28515625" style="2" customWidth="1"/>
    <col min="6" max="6" width="16" style="2" customWidth="1"/>
    <col min="7" max="7" width="9.140625" style="2"/>
    <col min="8" max="8" width="26" style="2" customWidth="1"/>
    <col min="9" max="9" width="17.85546875" style="2" customWidth="1"/>
    <col min="10" max="10" width="9.140625" style="2"/>
    <col min="11" max="11" width="54.28515625" style="2" customWidth="1"/>
    <col min="12" max="16384" width="9.140625" style="2"/>
  </cols>
  <sheetData>
    <row r="1" spans="1:13" ht="34.5" thickBot="1" x14ac:dyDescent="0.55000000000000004">
      <c r="A1" s="289" t="str">
        <f>PROPER(IF(E16="Schein","Henry Schein Crash Cart Auto-Replenishment Program",IF(SUMPRODUCT(--(ISNA(MATCH(E16,'Version and Lists'!A3:A8,0))))&gt;0,"Crash Cart Auto-Replenishment Program",E16&amp;" Crash Cart Auto-Replenishment Program")))</f>
        <v>Henry Schein Crash Cart Auto-Replenishment Program</v>
      </c>
      <c r="B1" s="290"/>
      <c r="C1" s="290"/>
      <c r="D1" s="290"/>
      <c r="E1" s="290"/>
      <c r="F1" s="290"/>
      <c r="G1" s="290"/>
      <c r="H1" s="290"/>
      <c r="I1" s="290"/>
      <c r="J1" s="290"/>
      <c r="K1" s="290"/>
      <c r="M1" s="69"/>
    </row>
    <row r="2" spans="1:13" ht="27" thickBot="1" x14ac:dyDescent="0.45">
      <c r="A2" s="291" t="s">
        <v>45</v>
      </c>
      <c r="B2" s="292"/>
      <c r="C2" s="292"/>
      <c r="D2" s="292"/>
      <c r="E2" s="292"/>
      <c r="F2" s="292"/>
      <c r="G2" s="292"/>
      <c r="H2" s="292"/>
      <c r="I2" s="292"/>
      <c r="J2" s="292"/>
      <c r="K2" s="292"/>
    </row>
    <row r="3" spans="1:13" s="3" customFormat="1" ht="21.75" customHeight="1" thickBot="1" x14ac:dyDescent="0.3">
      <c r="A3" s="298" t="s">
        <v>53</v>
      </c>
      <c r="B3" s="299"/>
      <c r="C3" s="299"/>
      <c r="D3" s="299"/>
      <c r="E3" s="299"/>
      <c r="F3" s="299"/>
      <c r="G3" s="299"/>
      <c r="H3" s="299"/>
      <c r="I3" s="299"/>
      <c r="J3" s="299"/>
      <c r="K3" s="299"/>
    </row>
    <row r="4" spans="1:13" s="20" customFormat="1" ht="27" customHeight="1" x14ac:dyDescent="0.4">
      <c r="A4" s="28"/>
      <c r="B4" s="29"/>
      <c r="C4" s="29"/>
      <c r="D4" s="29"/>
      <c r="E4" s="29"/>
      <c r="F4" s="29"/>
      <c r="G4" s="29"/>
      <c r="H4" s="29"/>
      <c r="I4" s="29"/>
      <c r="J4" s="29"/>
      <c r="K4" s="29"/>
    </row>
    <row r="5" spans="1:13" s="20" customFormat="1" ht="27" customHeight="1" thickBot="1" x14ac:dyDescent="0.45">
      <c r="A5" s="388" t="s">
        <v>54</v>
      </c>
      <c r="B5" s="389"/>
      <c r="C5" s="389"/>
      <c r="D5" s="389"/>
      <c r="E5" s="389"/>
      <c r="F5" s="389"/>
      <c r="G5" s="390"/>
      <c r="H5" s="391" t="str">
        <f>'Cart Formulary Calculator'!F4</f>
        <v>Does not meet $500 minimum</v>
      </c>
      <c r="I5" s="392"/>
      <c r="J5" s="392"/>
      <c r="K5" s="392"/>
    </row>
    <row r="6" spans="1:13" s="3" customFormat="1" ht="18.75" x14ac:dyDescent="0.3">
      <c r="A6" s="293" t="s">
        <v>26</v>
      </c>
      <c r="B6" s="293"/>
      <c r="C6" s="293"/>
      <c r="D6" s="293"/>
      <c r="E6" s="293"/>
      <c r="F6" s="293"/>
      <c r="G6" s="293"/>
      <c r="H6" s="293"/>
      <c r="I6" s="293"/>
      <c r="J6" s="293"/>
      <c r="K6" s="293"/>
    </row>
    <row r="7" spans="1:13" s="3" customFormat="1" ht="15.75" thickBot="1" x14ac:dyDescent="0.3"/>
    <row r="8" spans="1:13" ht="31.5" x14ac:dyDescent="0.5">
      <c r="A8" s="300" t="s">
        <v>27</v>
      </c>
      <c r="B8" s="301"/>
      <c r="C8" s="301"/>
      <c r="D8" s="301"/>
      <c r="E8" s="301"/>
      <c r="F8" s="301"/>
      <c r="G8" s="301"/>
      <c r="H8" s="301"/>
      <c r="I8" s="301"/>
      <c r="J8" s="301"/>
      <c r="K8" s="302"/>
    </row>
    <row r="9" spans="1:13" ht="21" customHeight="1" x14ac:dyDescent="0.3">
      <c r="A9" s="26">
        <v>1</v>
      </c>
      <c r="B9" s="303" t="s">
        <v>50</v>
      </c>
      <c r="C9" s="303"/>
      <c r="D9" s="303"/>
      <c r="E9" s="303"/>
      <c r="F9" s="303"/>
      <c r="G9" s="303"/>
      <c r="H9" s="303"/>
      <c r="I9" s="303"/>
      <c r="J9" s="303"/>
      <c r="K9" s="304"/>
    </row>
    <row r="10" spans="1:13" ht="21" x14ac:dyDescent="0.35">
      <c r="A10" s="26">
        <v>2</v>
      </c>
      <c r="B10" s="25" t="s">
        <v>51</v>
      </c>
      <c r="C10" s="25"/>
      <c r="D10" s="25"/>
      <c r="E10" s="25"/>
      <c r="F10" s="25"/>
      <c r="G10" s="25"/>
      <c r="H10" s="25"/>
      <c r="I10" s="25"/>
      <c r="J10" s="25"/>
      <c r="K10" s="27"/>
    </row>
    <row r="11" spans="1:13" s="11" customFormat="1" ht="21" x14ac:dyDescent="0.35">
      <c r="A11" s="26">
        <v>3</v>
      </c>
      <c r="B11" s="25" t="s">
        <v>52</v>
      </c>
      <c r="C11" s="25"/>
      <c r="D11" s="25"/>
      <c r="E11" s="25"/>
      <c r="F11" s="25"/>
      <c r="G11" s="25"/>
      <c r="H11" s="25"/>
      <c r="I11" s="25"/>
      <c r="J11" s="25"/>
      <c r="K11" s="27"/>
    </row>
    <row r="12" spans="1:13" s="11" customFormat="1" ht="39.75" customHeight="1" thickBot="1" x14ac:dyDescent="0.4">
      <c r="A12" s="85">
        <v>4</v>
      </c>
      <c r="B12" s="317" t="s">
        <v>96</v>
      </c>
      <c r="C12" s="317"/>
      <c r="D12" s="317"/>
      <c r="E12" s="317"/>
      <c r="F12" s="317"/>
      <c r="G12" s="317"/>
      <c r="H12" s="317"/>
      <c r="I12" s="317"/>
      <c r="J12" s="317"/>
      <c r="K12" s="318"/>
    </row>
    <row r="13" spans="1:13" ht="15.75" thickBot="1" x14ac:dyDescent="0.3"/>
    <row r="14" spans="1:13" ht="27" thickBot="1" x14ac:dyDescent="0.45">
      <c r="A14" s="305" t="s">
        <v>21</v>
      </c>
      <c r="B14" s="306"/>
      <c r="C14" s="306"/>
      <c r="D14" s="306"/>
      <c r="E14" s="306"/>
      <c r="F14" s="306"/>
      <c r="G14" s="306"/>
      <c r="H14" s="306"/>
      <c r="I14" s="306"/>
      <c r="J14" s="306"/>
      <c r="K14" s="307"/>
      <c r="M14" s="22"/>
    </row>
    <row r="15" spans="1:13" s="21" customFormat="1" ht="21.75" thickBot="1" x14ac:dyDescent="0.4">
      <c r="A15" s="308" t="s">
        <v>35</v>
      </c>
      <c r="B15" s="309"/>
      <c r="C15" s="309"/>
      <c r="D15" s="309"/>
      <c r="E15" s="309"/>
      <c r="F15" s="309"/>
      <c r="G15" s="309"/>
      <c r="H15" s="309"/>
      <c r="I15" s="309"/>
      <c r="J15" s="309"/>
      <c r="K15" s="310"/>
      <c r="M15" s="22"/>
    </row>
    <row r="16" spans="1:13" s="21" customFormat="1" ht="21" x14ac:dyDescent="0.35">
      <c r="A16" s="311" t="s">
        <v>70</v>
      </c>
      <c r="B16" s="312"/>
      <c r="C16" s="312"/>
      <c r="D16" s="313"/>
      <c r="E16" s="394" t="s">
        <v>60</v>
      </c>
      <c r="F16" s="395"/>
      <c r="G16" s="395"/>
      <c r="H16" s="395"/>
      <c r="I16" s="395"/>
      <c r="J16" s="395"/>
      <c r="K16" s="396"/>
      <c r="M16" s="22"/>
    </row>
    <row r="17" spans="1:13" s="21" customFormat="1" ht="21" x14ac:dyDescent="0.35">
      <c r="A17" s="311" t="s">
        <v>3</v>
      </c>
      <c r="B17" s="312"/>
      <c r="C17" s="312"/>
      <c r="D17" s="313"/>
      <c r="E17" s="319" t="s">
        <v>65</v>
      </c>
      <c r="F17" s="320"/>
      <c r="G17" s="320"/>
      <c r="H17" s="320"/>
      <c r="I17" s="320"/>
      <c r="J17" s="320"/>
      <c r="K17" s="321"/>
      <c r="M17" s="22"/>
    </row>
    <row r="18" spans="1:13" s="21" customFormat="1" ht="21" x14ac:dyDescent="0.35">
      <c r="A18" s="311" t="s">
        <v>175</v>
      </c>
      <c r="B18" s="312"/>
      <c r="C18" s="312"/>
      <c r="D18" s="313"/>
      <c r="E18" s="319" t="s">
        <v>65</v>
      </c>
      <c r="F18" s="320"/>
      <c r="G18" s="320"/>
      <c r="H18" s="320"/>
      <c r="I18" s="320"/>
      <c r="J18" s="320"/>
      <c r="K18" s="321"/>
      <c r="M18" s="22"/>
    </row>
    <row r="19" spans="1:13" s="21" customFormat="1" ht="21" x14ac:dyDescent="0.35">
      <c r="A19" s="311" t="s">
        <v>149</v>
      </c>
      <c r="B19" s="312"/>
      <c r="C19" s="312"/>
      <c r="D19" s="313"/>
      <c r="E19" s="319" t="s">
        <v>65</v>
      </c>
      <c r="F19" s="320"/>
      <c r="G19" s="320"/>
      <c r="H19" s="320"/>
      <c r="I19" s="320"/>
      <c r="J19" s="320"/>
      <c r="K19" s="321"/>
      <c r="M19" s="22"/>
    </row>
    <row r="20" spans="1:13" s="21" customFormat="1" ht="21" x14ac:dyDescent="0.35">
      <c r="A20" s="311" t="s">
        <v>150</v>
      </c>
      <c r="B20" s="312"/>
      <c r="C20" s="312"/>
      <c r="D20" s="313"/>
      <c r="E20" s="319" t="s">
        <v>65</v>
      </c>
      <c r="F20" s="320"/>
      <c r="G20" s="320"/>
      <c r="H20" s="320"/>
      <c r="I20" s="320"/>
      <c r="J20" s="320"/>
      <c r="K20" s="321"/>
      <c r="M20" s="22"/>
    </row>
    <row r="21" spans="1:13" s="21" customFormat="1" ht="21" x14ac:dyDescent="0.35">
      <c r="A21" s="311" t="s">
        <v>152</v>
      </c>
      <c r="B21" s="312"/>
      <c r="C21" s="312"/>
      <c r="D21" s="313"/>
      <c r="E21" s="319" t="s">
        <v>65</v>
      </c>
      <c r="F21" s="320"/>
      <c r="G21" s="320"/>
      <c r="H21" s="320"/>
      <c r="I21" s="320"/>
      <c r="J21" s="320"/>
      <c r="K21" s="321"/>
      <c r="M21" s="22"/>
    </row>
    <row r="22" spans="1:13" s="21" customFormat="1" ht="21" x14ac:dyDescent="0.35">
      <c r="A22" s="311" t="s">
        <v>151</v>
      </c>
      <c r="B22" s="312"/>
      <c r="C22" s="312"/>
      <c r="D22" s="313"/>
      <c r="E22" s="319" t="s">
        <v>65</v>
      </c>
      <c r="F22" s="320"/>
      <c r="G22" s="320"/>
      <c r="H22" s="320"/>
      <c r="I22" s="320"/>
      <c r="J22" s="320"/>
      <c r="K22" s="321"/>
      <c r="M22" s="22"/>
    </row>
    <row r="23" spans="1:13" s="21" customFormat="1" ht="21" x14ac:dyDescent="0.35">
      <c r="A23" s="311" t="s">
        <v>12</v>
      </c>
      <c r="B23" s="312"/>
      <c r="C23" s="312"/>
      <c r="D23" s="313"/>
      <c r="E23" s="319" t="s">
        <v>65</v>
      </c>
      <c r="F23" s="320"/>
      <c r="G23" s="320"/>
      <c r="H23" s="320"/>
      <c r="I23" s="320"/>
      <c r="J23" s="320"/>
      <c r="K23" s="321"/>
      <c r="M23" s="22"/>
    </row>
    <row r="24" spans="1:13" s="21" customFormat="1" ht="21" x14ac:dyDescent="0.35">
      <c r="A24" s="311" t="s">
        <v>5</v>
      </c>
      <c r="B24" s="312"/>
      <c r="C24" s="312"/>
      <c r="D24" s="313"/>
      <c r="E24" s="322" t="s">
        <v>65</v>
      </c>
      <c r="F24" s="323"/>
      <c r="G24" s="323"/>
      <c r="H24" s="323"/>
      <c r="I24" s="323"/>
      <c r="J24" s="323"/>
      <c r="K24" s="324"/>
      <c r="M24" s="22"/>
    </row>
    <row r="25" spans="1:13" s="21" customFormat="1" ht="21" x14ac:dyDescent="0.35">
      <c r="A25" s="311" t="s">
        <v>6</v>
      </c>
      <c r="B25" s="312"/>
      <c r="C25" s="312"/>
      <c r="D25" s="313"/>
      <c r="E25" s="322" t="s">
        <v>65</v>
      </c>
      <c r="F25" s="323"/>
      <c r="G25" s="323"/>
      <c r="H25" s="323"/>
      <c r="I25" s="323"/>
      <c r="J25" s="323"/>
      <c r="K25" s="324"/>
      <c r="M25" s="22"/>
    </row>
    <row r="26" spans="1:13" s="21" customFormat="1" ht="21" x14ac:dyDescent="0.35">
      <c r="A26" s="311" t="s">
        <v>91</v>
      </c>
      <c r="B26" s="312"/>
      <c r="C26" s="312"/>
      <c r="D26" s="313"/>
      <c r="E26" s="319"/>
      <c r="F26" s="320"/>
      <c r="G26" s="320"/>
      <c r="H26" s="320"/>
      <c r="I26" s="320"/>
      <c r="J26" s="320"/>
      <c r="K26" s="321"/>
      <c r="M26" s="22"/>
    </row>
    <row r="27" spans="1:13" s="21" customFormat="1" ht="21" x14ac:dyDescent="0.35">
      <c r="A27" s="311" t="s">
        <v>133</v>
      </c>
      <c r="B27" s="312"/>
      <c r="C27" s="312"/>
      <c r="D27" s="313"/>
      <c r="E27" s="322"/>
      <c r="F27" s="323"/>
      <c r="G27" s="323"/>
      <c r="H27" s="323"/>
      <c r="I27" s="323"/>
      <c r="J27" s="323"/>
      <c r="K27" s="324"/>
      <c r="M27" s="22"/>
    </row>
    <row r="28" spans="1:13" s="21" customFormat="1" ht="21" x14ac:dyDescent="0.35">
      <c r="A28" s="311" t="s">
        <v>172</v>
      </c>
      <c r="B28" s="312"/>
      <c r="C28" s="312"/>
      <c r="D28" s="313"/>
      <c r="E28" s="319"/>
      <c r="F28" s="320"/>
      <c r="G28" s="320"/>
      <c r="H28" s="320"/>
      <c r="I28" s="320"/>
      <c r="J28" s="320"/>
      <c r="K28" s="321"/>
      <c r="M28" s="22"/>
    </row>
    <row r="29" spans="1:13" s="21" customFormat="1" ht="21" x14ac:dyDescent="0.35">
      <c r="A29" s="311" t="s">
        <v>62</v>
      </c>
      <c r="B29" s="312"/>
      <c r="C29" s="312"/>
      <c r="D29" s="313"/>
      <c r="E29" s="319" t="s">
        <v>65</v>
      </c>
      <c r="F29" s="320"/>
      <c r="G29" s="320"/>
      <c r="H29" s="320"/>
      <c r="I29" s="320"/>
      <c r="J29" s="320"/>
      <c r="K29" s="321"/>
    </row>
    <row r="30" spans="1:13" s="21" customFormat="1" ht="21" x14ac:dyDescent="0.35">
      <c r="A30" s="311" t="s">
        <v>23</v>
      </c>
      <c r="B30" s="312"/>
      <c r="C30" s="312"/>
      <c r="D30" s="313"/>
      <c r="E30" s="319" t="s">
        <v>65</v>
      </c>
      <c r="F30" s="320"/>
      <c r="G30" s="320"/>
      <c r="H30" s="320"/>
      <c r="I30" s="320"/>
      <c r="J30" s="320"/>
      <c r="K30" s="321"/>
    </row>
    <row r="31" spans="1:13" s="21" customFormat="1" ht="21" x14ac:dyDescent="0.35">
      <c r="A31" s="311" t="s">
        <v>46</v>
      </c>
      <c r="B31" s="312"/>
      <c r="C31" s="312"/>
      <c r="D31" s="313"/>
      <c r="E31" s="319"/>
      <c r="F31" s="320"/>
      <c r="G31" s="320"/>
      <c r="H31" s="320"/>
      <c r="I31" s="320"/>
      <c r="J31" s="320"/>
      <c r="K31" s="321"/>
    </row>
    <row r="32" spans="1:13" s="21" customFormat="1" ht="21" x14ac:dyDescent="0.35">
      <c r="A32" s="311" t="s">
        <v>18</v>
      </c>
      <c r="B32" s="312"/>
      <c r="C32" s="312"/>
      <c r="D32" s="313"/>
      <c r="E32" s="319"/>
      <c r="F32" s="320"/>
      <c r="G32" s="320"/>
      <c r="H32" s="320"/>
      <c r="I32" s="320"/>
      <c r="J32" s="320"/>
      <c r="K32" s="321"/>
    </row>
    <row r="33" spans="1:11" s="21" customFormat="1" ht="21" x14ac:dyDescent="0.35">
      <c r="A33" s="311" t="s">
        <v>47</v>
      </c>
      <c r="B33" s="312"/>
      <c r="C33" s="312"/>
      <c r="D33" s="313"/>
      <c r="E33" s="319"/>
      <c r="F33" s="320"/>
      <c r="G33" s="320"/>
      <c r="H33" s="320"/>
      <c r="I33" s="320"/>
      <c r="J33" s="320"/>
      <c r="K33" s="321"/>
    </row>
    <row r="34" spans="1:11" s="21" customFormat="1" ht="21" x14ac:dyDescent="0.35">
      <c r="A34" s="311" t="s">
        <v>15</v>
      </c>
      <c r="B34" s="312"/>
      <c r="C34" s="312"/>
      <c r="D34" s="313"/>
      <c r="E34" s="319" t="s">
        <v>65</v>
      </c>
      <c r="F34" s="320"/>
      <c r="G34" s="320"/>
      <c r="H34" s="320"/>
      <c r="I34" s="320"/>
      <c r="J34" s="320"/>
      <c r="K34" s="321"/>
    </row>
    <row r="35" spans="1:11" s="21" customFormat="1" ht="21" x14ac:dyDescent="0.35">
      <c r="A35" s="311" t="s">
        <v>30</v>
      </c>
      <c r="B35" s="312"/>
      <c r="C35" s="312"/>
      <c r="D35" s="313"/>
      <c r="E35" s="319" t="s">
        <v>65</v>
      </c>
      <c r="F35" s="320"/>
      <c r="G35" s="320"/>
      <c r="H35" s="320"/>
      <c r="I35" s="320"/>
      <c r="J35" s="320"/>
      <c r="K35" s="321"/>
    </row>
    <row r="36" spans="1:11" s="21" customFormat="1" ht="21" x14ac:dyDescent="0.35">
      <c r="A36" s="325" t="s">
        <v>31</v>
      </c>
      <c r="B36" s="326"/>
      <c r="C36" s="326"/>
      <c r="D36" s="327"/>
      <c r="E36" s="319" t="s">
        <v>65</v>
      </c>
      <c r="F36" s="320"/>
      <c r="G36" s="320"/>
      <c r="H36" s="320"/>
      <c r="I36" s="320"/>
      <c r="J36" s="320"/>
      <c r="K36" s="321"/>
    </row>
    <row r="37" spans="1:11" s="21" customFormat="1" ht="21" x14ac:dyDescent="0.35">
      <c r="A37" s="24" t="s">
        <v>48</v>
      </c>
      <c r="B37" s="24"/>
      <c r="C37" s="24"/>
      <c r="D37" s="24"/>
      <c r="E37" s="319"/>
      <c r="F37" s="320"/>
      <c r="G37" s="320"/>
      <c r="H37" s="320"/>
      <c r="I37" s="320"/>
      <c r="J37" s="320"/>
      <c r="K37" s="321"/>
    </row>
    <row r="38" spans="1:11" ht="21" x14ac:dyDescent="0.35">
      <c r="A38" s="24" t="s">
        <v>49</v>
      </c>
      <c r="B38" s="24"/>
      <c r="C38" s="24"/>
      <c r="D38" s="24"/>
      <c r="E38" s="319"/>
      <c r="F38" s="320"/>
      <c r="G38" s="320"/>
      <c r="H38" s="320"/>
      <c r="I38" s="320"/>
      <c r="J38" s="320"/>
      <c r="K38" s="321"/>
    </row>
    <row r="39" spans="1:11" ht="21" x14ac:dyDescent="0.35">
      <c r="A39" s="23" t="s">
        <v>22</v>
      </c>
      <c r="B39" s="24"/>
      <c r="C39" s="24"/>
      <c r="D39" s="24"/>
      <c r="E39" s="319"/>
      <c r="F39" s="320"/>
      <c r="G39" s="320"/>
      <c r="H39" s="320"/>
      <c r="I39" s="320"/>
      <c r="J39" s="320"/>
      <c r="K39" s="321"/>
    </row>
    <row r="40" spans="1:11" ht="21" x14ac:dyDescent="0.35">
      <c r="A40" s="311" t="s">
        <v>19</v>
      </c>
      <c r="B40" s="312"/>
      <c r="C40" s="312"/>
      <c r="D40" s="313"/>
      <c r="E40" s="319" t="s">
        <v>65</v>
      </c>
      <c r="F40" s="320"/>
      <c r="G40" s="320"/>
      <c r="H40" s="320"/>
      <c r="I40" s="320"/>
      <c r="J40" s="320"/>
      <c r="K40" s="321"/>
    </row>
    <row r="41" spans="1:11" ht="21" x14ac:dyDescent="0.35">
      <c r="A41" s="311" t="s">
        <v>20</v>
      </c>
      <c r="B41" s="312"/>
      <c r="C41" s="312"/>
      <c r="D41" s="313"/>
      <c r="E41" s="319" t="s">
        <v>65</v>
      </c>
      <c r="F41" s="320"/>
      <c r="G41" s="320"/>
      <c r="H41" s="320"/>
      <c r="I41" s="320"/>
      <c r="J41" s="320"/>
      <c r="K41" s="321"/>
    </row>
    <row r="42" spans="1:11" ht="21" x14ac:dyDescent="0.35">
      <c r="A42" s="311" t="s">
        <v>32</v>
      </c>
      <c r="B42" s="312"/>
      <c r="C42" s="312"/>
      <c r="D42" s="313"/>
      <c r="E42" s="319" t="s">
        <v>65</v>
      </c>
      <c r="F42" s="320"/>
      <c r="G42" s="320"/>
      <c r="H42" s="320"/>
      <c r="I42" s="320"/>
      <c r="J42" s="320"/>
      <c r="K42" s="321"/>
    </row>
    <row r="43" spans="1:11" ht="23.25" x14ac:dyDescent="0.35">
      <c r="A43" s="32"/>
    </row>
    <row r="44" spans="1:11" ht="31.5" x14ac:dyDescent="0.5">
      <c r="A44" s="33" t="s">
        <v>55</v>
      </c>
      <c r="C44" s="57" t="s">
        <v>129</v>
      </c>
      <c r="D44" s="97" t="s">
        <v>130</v>
      </c>
    </row>
    <row r="45" spans="1:11" ht="21" x14ac:dyDescent="0.35">
      <c r="C45" s="65"/>
      <c r="D45" s="65" t="s">
        <v>66</v>
      </c>
    </row>
    <row r="46" spans="1:11" ht="23.25" x14ac:dyDescent="0.35">
      <c r="F46" s="30"/>
      <c r="G46" s="30"/>
      <c r="H46" s="30"/>
      <c r="J46" s="31"/>
    </row>
    <row r="47" spans="1:11" s="34" customFormat="1" ht="21.75" thickBot="1" x14ac:dyDescent="0.4">
      <c r="E47" s="35"/>
      <c r="G47" s="35"/>
      <c r="H47" s="35"/>
    </row>
    <row r="48" spans="1:11" s="34" customFormat="1" ht="32.25" thickBot="1" x14ac:dyDescent="0.55000000000000004">
      <c r="A48" s="36" t="s">
        <v>56</v>
      </c>
      <c r="C48" s="57" t="s">
        <v>59</v>
      </c>
      <c r="D48" s="68"/>
      <c r="E48" s="57" t="s">
        <v>117</v>
      </c>
      <c r="F48" s="95"/>
      <c r="G48" s="61" t="s">
        <v>128</v>
      </c>
    </row>
    <row r="49" spans="1:8" s="34" customFormat="1" ht="21.95" customHeight="1" thickBot="1" x14ac:dyDescent="0.3">
      <c r="D49" s="52" t="s">
        <v>94</v>
      </c>
    </row>
    <row r="50" spans="1:8" s="34" customFormat="1" ht="30" customHeight="1" x14ac:dyDescent="0.35">
      <c r="A50" s="66"/>
      <c r="B50" s="67" t="str">
        <f>IF($E$16="Healthfirst","Select Billing:",IF($E$16="Henry Schein","",IF('Standard Cart Pricing Formulas'!Q25="Medline","",IF($E$16="Required Field","",""))))</f>
        <v/>
      </c>
      <c r="C50" s="67"/>
      <c r="D50" s="331" t="s">
        <v>90</v>
      </c>
    </row>
    <row r="51" spans="1:8" s="34" customFormat="1" ht="19.5" thickBot="1" x14ac:dyDescent="0.35">
      <c r="A51" s="329"/>
      <c r="B51" s="329"/>
      <c r="D51" s="332"/>
    </row>
    <row r="52" spans="1:8" s="34" customFormat="1" ht="18.75" x14ac:dyDescent="0.3">
      <c r="A52" s="91"/>
      <c r="B52" s="91"/>
      <c r="D52" s="331" t="s">
        <v>127</v>
      </c>
    </row>
    <row r="53" spans="1:8" s="34" customFormat="1" ht="18.75" x14ac:dyDescent="0.3">
      <c r="A53" s="91"/>
      <c r="B53" s="91"/>
      <c r="D53" s="333"/>
    </row>
    <row r="54" spans="1:8" s="34" customFormat="1" ht="19.5" thickBot="1" x14ac:dyDescent="0.35">
      <c r="A54" s="91"/>
      <c r="B54" s="91"/>
      <c r="D54" s="332"/>
    </row>
    <row r="55" spans="1:8" ht="18.75" x14ac:dyDescent="0.3">
      <c r="A55" s="330"/>
      <c r="B55" s="330"/>
    </row>
    <row r="56" spans="1:8" ht="31.5" x14ac:dyDescent="0.5">
      <c r="A56" s="33" t="s">
        <v>57</v>
      </c>
      <c r="C56" s="58" t="s">
        <v>155</v>
      </c>
      <c r="D56" s="58"/>
      <c r="E56" s="59"/>
      <c r="F56" s="60"/>
      <c r="G56" s="60"/>
      <c r="H56" s="60"/>
    </row>
    <row r="57" spans="1:8" x14ac:dyDescent="0.25">
      <c r="F57" s="96">
        <v>1</v>
      </c>
    </row>
    <row r="58" spans="1:8" ht="24.75" customHeight="1" x14ac:dyDescent="0.25">
      <c r="D58" s="63"/>
      <c r="E58" s="70">
        <v>20</v>
      </c>
    </row>
    <row r="60" spans="1:8" x14ac:dyDescent="0.25">
      <c r="D60" s="62"/>
    </row>
    <row r="61" spans="1:8" x14ac:dyDescent="0.25">
      <c r="D61" s="62"/>
    </row>
    <row r="62" spans="1:8" x14ac:dyDescent="0.25">
      <c r="D62" s="62"/>
    </row>
    <row r="63" spans="1:8" x14ac:dyDescent="0.25">
      <c r="B63" s="328" t="str">
        <f>'Version and Lists'!D2</f>
        <v>V 89 07/17/2026</v>
      </c>
      <c r="C63" s="328"/>
      <c r="D63" s="90"/>
    </row>
    <row r="64" spans="1:8" x14ac:dyDescent="0.25">
      <c r="D64" s="62"/>
    </row>
    <row r="65" spans="4:4" x14ac:dyDescent="0.25">
      <c r="D65" s="62"/>
    </row>
    <row r="66" spans="4:4" x14ac:dyDescent="0.25">
      <c r="D66" s="62"/>
    </row>
    <row r="67" spans="4:4" x14ac:dyDescent="0.25">
      <c r="D67" s="62"/>
    </row>
  </sheetData>
  <sheetProtection autoFilter="0"/>
  <mergeCells count="67">
    <mergeCell ref="A18:D18"/>
    <mergeCell ref="E18:K18"/>
    <mergeCell ref="A42:D42"/>
    <mergeCell ref="E42:K42"/>
    <mergeCell ref="B63:C63"/>
    <mergeCell ref="E25:K25"/>
    <mergeCell ref="A26:D26"/>
    <mergeCell ref="E26:K26"/>
    <mergeCell ref="A28:D28"/>
    <mergeCell ref="E28:K28"/>
    <mergeCell ref="A27:D27"/>
    <mergeCell ref="E27:K27"/>
    <mergeCell ref="E29:K29"/>
    <mergeCell ref="A30:D30"/>
    <mergeCell ref="E30:K30"/>
    <mergeCell ref="A41:D41"/>
    <mergeCell ref="A6:K6"/>
    <mergeCell ref="A1:K1"/>
    <mergeCell ref="A2:K2"/>
    <mergeCell ref="A5:G5"/>
    <mergeCell ref="H5:K5"/>
    <mergeCell ref="A3:K3"/>
    <mergeCell ref="A8:K8"/>
    <mergeCell ref="B9:K9"/>
    <mergeCell ref="A14:K14"/>
    <mergeCell ref="A15:K15"/>
    <mergeCell ref="A16:D16"/>
    <mergeCell ref="E16:K16"/>
    <mergeCell ref="B12:K12"/>
    <mergeCell ref="A17:D17"/>
    <mergeCell ref="E17:K17"/>
    <mergeCell ref="A19:D19"/>
    <mergeCell ref="D52:D54"/>
    <mergeCell ref="E19:K19"/>
    <mergeCell ref="A23:D23"/>
    <mergeCell ref="E23:K23"/>
    <mergeCell ref="A24:D24"/>
    <mergeCell ref="E24:K24"/>
    <mergeCell ref="A20:D20"/>
    <mergeCell ref="A21:D21"/>
    <mergeCell ref="A22:D22"/>
    <mergeCell ref="E20:K20"/>
    <mergeCell ref="E21:K21"/>
    <mergeCell ref="E22:K22"/>
    <mergeCell ref="A25:D25"/>
    <mergeCell ref="E33:K33"/>
    <mergeCell ref="A36:D36"/>
    <mergeCell ref="A34:D34"/>
    <mergeCell ref="E34:K34"/>
    <mergeCell ref="A35:D35"/>
    <mergeCell ref="E35:K35"/>
    <mergeCell ref="A29:D29"/>
    <mergeCell ref="A51:B51"/>
    <mergeCell ref="A55:B55"/>
    <mergeCell ref="E36:K36"/>
    <mergeCell ref="E37:K37"/>
    <mergeCell ref="E38:K38"/>
    <mergeCell ref="E39:K39"/>
    <mergeCell ref="A40:D40"/>
    <mergeCell ref="E40:K40"/>
    <mergeCell ref="D50:D51"/>
    <mergeCell ref="E41:K41"/>
    <mergeCell ref="A31:D31"/>
    <mergeCell ref="E31:K31"/>
    <mergeCell ref="A32:D32"/>
    <mergeCell ref="E32:K32"/>
    <mergeCell ref="A33:D33"/>
  </mergeCells>
  <dataValidations count="3">
    <dataValidation type="date" allowBlank="1" showInputMessage="1" showErrorMessage="1" errorTitle="Date Required" error="Please enter the date" sqref="F48" xr:uid="{43CA8F5F-34F6-4BED-B9B3-85502090B980}">
      <formula1>44927</formula1>
      <formula2>72686</formula2>
    </dataValidation>
    <dataValidation type="textLength" operator="equal" allowBlank="1" showInputMessage="1" showErrorMessage="1" errorTitle="Formatting Error" error="The Shipping State field requires the use of the 2-letter state abbreviation." sqref="E21:K21" xr:uid="{99A500E5-2BF9-481C-A902-A98BF773B5F4}">
      <formula1>2</formula1>
    </dataValidation>
    <dataValidation type="list" showInputMessage="1" showErrorMessage="1" errorTitle="Incorrect Option Selected" error="Please use the dropdown icon to select either &quot;Yes&quot; or &quot;No&quot;" sqref="E18:K18" xr:uid="{AF237CE9-1D2B-4042-80EA-C154149F6227}">
      <formula1>"Required Field, Yes, No"</formula1>
    </dataValidation>
  </dataValidations>
  <hyperlinks>
    <hyperlink ref="D44" r:id="rId1" xr:uid="{37A854FC-4095-42C6-A1EF-10DCE9F0AC6D}"/>
  </hyperlinks>
  <pageMargins left="0.7" right="0.7" top="0.75" bottom="0.75" header="0.3" footer="0.3"/>
  <pageSetup scale="36"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6" r:id="rId5" name="Check Box 4">
              <controlPr locked="0" defaultSize="0" autoFill="0" autoLine="0" autoPict="0">
                <anchor moveWithCells="1">
                  <from>
                    <xdr:col>3</xdr:col>
                    <xdr:colOff>9525</xdr:colOff>
                    <xdr:row>48</xdr:row>
                    <xdr:rowOff>314325</xdr:rowOff>
                  </from>
                  <to>
                    <xdr:col>3</xdr:col>
                    <xdr:colOff>342900</xdr:colOff>
                    <xdr:row>50</xdr:row>
                    <xdr:rowOff>85725</xdr:rowOff>
                  </to>
                </anchor>
              </controlPr>
            </control>
          </mc:Choice>
        </mc:AlternateContent>
        <mc:AlternateContent xmlns:mc="http://schemas.openxmlformats.org/markup-compatibility/2006">
          <mc:Choice Requires="x14">
            <control shapeId="3077" r:id="rId6" name="Check Box 5">
              <controlPr locked="0" defaultSize="0" autoFill="0" autoLine="0" autoPict="0">
                <anchor moveWithCells="1">
                  <from>
                    <xdr:col>3</xdr:col>
                    <xdr:colOff>9525</xdr:colOff>
                    <xdr:row>48</xdr:row>
                    <xdr:rowOff>314325</xdr:rowOff>
                  </from>
                  <to>
                    <xdr:col>3</xdr:col>
                    <xdr:colOff>342900</xdr:colOff>
                    <xdr:row>50</xdr:row>
                    <xdr:rowOff>85725</xdr:rowOff>
                  </to>
                </anchor>
              </controlPr>
            </control>
          </mc:Choice>
        </mc:AlternateContent>
        <mc:AlternateContent xmlns:mc="http://schemas.openxmlformats.org/markup-compatibility/2006">
          <mc:Choice Requires="x14">
            <control shapeId="3078" r:id="rId7" name="Check Box 6">
              <controlPr locked="0" defaultSize="0" autoFill="0" autoLine="0" autoPict="0">
                <anchor moveWithCells="1">
                  <from>
                    <xdr:col>3</xdr:col>
                    <xdr:colOff>9525</xdr:colOff>
                    <xdr:row>48</xdr:row>
                    <xdr:rowOff>314325</xdr:rowOff>
                  </from>
                  <to>
                    <xdr:col>3</xdr:col>
                    <xdr:colOff>342900</xdr:colOff>
                    <xdr:row>50</xdr:row>
                    <xdr:rowOff>85725</xdr:rowOff>
                  </to>
                </anchor>
              </controlPr>
            </control>
          </mc:Choice>
        </mc:AlternateContent>
        <mc:AlternateContent xmlns:mc="http://schemas.openxmlformats.org/markup-compatibility/2006">
          <mc:Choice Requires="x14">
            <control shapeId="3079" r:id="rId8" name="Check Box 7">
              <controlPr locked="0" defaultSize="0" autoFill="0" autoLine="0" autoPict="0">
                <anchor moveWithCells="1">
                  <from>
                    <xdr:col>3</xdr:col>
                    <xdr:colOff>9525</xdr:colOff>
                    <xdr:row>48</xdr:row>
                    <xdr:rowOff>314325</xdr:rowOff>
                  </from>
                  <to>
                    <xdr:col>3</xdr:col>
                    <xdr:colOff>342900</xdr:colOff>
                    <xdr:row>50</xdr:row>
                    <xdr:rowOff>85725</xdr:rowOff>
                  </to>
                </anchor>
              </controlPr>
            </control>
          </mc:Choice>
        </mc:AlternateContent>
        <mc:AlternateContent xmlns:mc="http://schemas.openxmlformats.org/markup-compatibility/2006">
          <mc:Choice Requires="x14">
            <control shapeId="3081" r:id="rId9" name="Check Box 9">
              <controlPr locked="0" defaultSize="0" autoFill="0" autoLine="0" autoPict="0">
                <anchor moveWithCells="1">
                  <from>
                    <xdr:col>3</xdr:col>
                    <xdr:colOff>9525</xdr:colOff>
                    <xdr:row>50</xdr:row>
                    <xdr:rowOff>228600</xdr:rowOff>
                  </from>
                  <to>
                    <xdr:col>3</xdr:col>
                    <xdr:colOff>266700</xdr:colOff>
                    <xdr:row>52</xdr:row>
                    <xdr:rowOff>95250</xdr:rowOff>
                  </to>
                </anchor>
              </controlPr>
            </control>
          </mc:Choice>
        </mc:AlternateContent>
        <mc:AlternateContent xmlns:mc="http://schemas.openxmlformats.org/markup-compatibility/2006">
          <mc:Choice Requires="x14">
            <control shapeId="3089" r:id="rId10" name="Check Box 17">
              <controlPr defaultSize="0" autoFill="0" autoLine="0" autoPict="0">
                <anchor moveWithCells="1">
                  <from>
                    <xdr:col>3</xdr:col>
                    <xdr:colOff>304800</xdr:colOff>
                    <xdr:row>43</xdr:row>
                    <xdr:rowOff>323850</xdr:rowOff>
                  </from>
                  <to>
                    <xdr:col>3</xdr:col>
                    <xdr:colOff>638175</xdr:colOff>
                    <xdr:row>45</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errorStyle="warning" showDropDown="1" showInputMessage="1" showErrorMessage="1" errorTitle="Entry Error" error="Please ensure your company name is entered correctly." xr:uid="{DF20F5D2-BE6B-41B8-A2A3-8C8CAD3EB7E7}">
          <x14:formula1>
            <xm:f>'Version and Lists'!$A$2:$A$8</xm:f>
          </x14:formula1>
          <xm:sqref>E16:K16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30A0B-58F3-4BD8-A9EF-8755044CC6BC}">
  <sheetPr codeName="Sheet2">
    <tabColor rgb="FFA3E7FF"/>
    <pageSetUpPr fitToPage="1"/>
  </sheetPr>
  <dimension ref="A1:HU205"/>
  <sheetViews>
    <sheetView zoomScaleNormal="100" workbookViewId="0">
      <pane ySplit="11" topLeftCell="A12" activePane="bottomLeft" state="frozen"/>
      <selection pane="bottomLeft" activeCell="F197" sqref="F197"/>
    </sheetView>
  </sheetViews>
  <sheetFormatPr defaultColWidth="8.85546875" defaultRowHeight="15" x14ac:dyDescent="0.25"/>
  <cols>
    <col min="1" max="1" width="19.85546875" style="15" customWidth="1"/>
    <col min="2" max="2" width="90.85546875" style="16" bestFit="1" customWidth="1"/>
    <col min="3" max="3" width="45.28515625" style="16" customWidth="1"/>
    <col min="4" max="4" width="15.42578125" style="16" bestFit="1" customWidth="1"/>
    <col min="5" max="5" width="35.28515625" style="16" customWidth="1"/>
    <col min="6" max="6" width="18.140625" style="16" customWidth="1"/>
    <col min="7" max="7" width="7.28515625" style="16" hidden="1" customWidth="1"/>
    <col min="8" max="8" width="13.28515625" style="15" customWidth="1"/>
    <col min="9" max="9" width="13" style="15" customWidth="1"/>
    <col min="10" max="10" width="8.85546875" style="16" customWidth="1"/>
    <col min="11" max="11" width="10.28515625" style="16" customWidth="1"/>
    <col min="12" max="12" width="22.140625" style="16" hidden="1" customWidth="1"/>
    <col min="13" max="13" width="8.85546875" style="16" hidden="1" customWidth="1"/>
    <col min="14" max="17" width="8.85546875" style="262" hidden="1" customWidth="1"/>
    <col min="18" max="18" width="8.85546875" style="16" customWidth="1"/>
    <col min="19" max="16384" width="8.85546875" style="16"/>
  </cols>
  <sheetData>
    <row r="1" spans="1:229" s="19" customFormat="1" ht="34.5" thickBot="1" x14ac:dyDescent="0.55000000000000004">
      <c r="A1" s="337" t="s">
        <v>43</v>
      </c>
      <c r="B1" s="338"/>
      <c r="C1" s="338"/>
      <c r="D1" s="338"/>
      <c r="E1" s="338"/>
      <c r="F1" s="397"/>
      <c r="G1" s="71"/>
      <c r="H1" s="18"/>
      <c r="I1" s="18"/>
      <c r="J1" s="18"/>
      <c r="K1" s="18"/>
      <c r="L1" s="18"/>
      <c r="M1" s="18"/>
      <c r="N1" s="112"/>
      <c r="O1" s="112"/>
      <c r="P1" s="112"/>
      <c r="Q1" s="113"/>
    </row>
    <row r="2" spans="1:229" s="13" customFormat="1" ht="48" customHeight="1" thickBot="1" x14ac:dyDescent="0.3">
      <c r="A2" s="339" t="s">
        <v>93</v>
      </c>
      <c r="B2" s="340"/>
      <c r="C2" s="340"/>
      <c r="D2" s="340"/>
      <c r="E2" s="340"/>
      <c r="F2" s="404"/>
      <c r="G2" s="72"/>
      <c r="H2" s="12"/>
      <c r="I2" s="12"/>
      <c r="J2" s="12"/>
      <c r="K2" s="12"/>
      <c r="L2" s="12"/>
      <c r="M2" s="12"/>
      <c r="N2" s="114"/>
      <c r="O2" s="114"/>
      <c r="P2" s="114"/>
      <c r="Q2" s="115"/>
    </row>
    <row r="3" spans="1:229" s="13" customFormat="1" ht="33.75" customHeight="1" thickBot="1" x14ac:dyDescent="0.3">
      <c r="A3" s="341" t="s">
        <v>44</v>
      </c>
      <c r="B3" s="342"/>
      <c r="C3" s="342"/>
      <c r="D3" s="342"/>
      <c r="E3" s="342"/>
      <c r="F3" s="405"/>
      <c r="G3" s="73"/>
      <c r="H3" s="12"/>
      <c r="I3" s="12"/>
      <c r="J3" s="12"/>
      <c r="K3" s="12"/>
      <c r="L3" s="12"/>
      <c r="M3" s="12"/>
      <c r="N3" s="114"/>
      <c r="O3" s="114"/>
      <c r="P3" s="114"/>
      <c r="Q3" s="115"/>
    </row>
    <row r="4" spans="1:229" s="14" customFormat="1" ht="57" customHeight="1" x14ac:dyDescent="0.3">
      <c r="A4" s="102" t="s">
        <v>42</v>
      </c>
      <c r="B4" s="103"/>
      <c r="C4" s="103"/>
      <c r="D4" s="103"/>
      <c r="E4" s="108" t="s">
        <v>38</v>
      </c>
      <c r="F4" s="229" t="str">
        <f>'Standard Cart Pricing Formulas'!F25</f>
        <v>Does not meet $500 minimum</v>
      </c>
      <c r="G4" s="74"/>
      <c r="H4" s="398" t="s">
        <v>58</v>
      </c>
      <c r="I4" s="399"/>
      <c r="J4" s="399"/>
      <c r="K4" s="399"/>
      <c r="L4" s="400"/>
      <c r="M4"/>
      <c r="N4" s="116"/>
      <c r="O4" s="116"/>
      <c r="P4" s="116"/>
      <c r="Q4" s="116"/>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row>
    <row r="5" spans="1:229" s="14" customFormat="1" ht="20.25" thickBot="1" x14ac:dyDescent="0.35">
      <c r="A5" s="334" t="s">
        <v>87</v>
      </c>
      <c r="B5" s="335"/>
      <c r="C5" s="335"/>
      <c r="D5" s="335"/>
      <c r="E5" s="335"/>
      <c r="F5" s="336"/>
      <c r="G5" s="74"/>
      <c r="H5" s="401" t="s">
        <v>41</v>
      </c>
      <c r="I5" s="402"/>
      <c r="J5" s="402"/>
      <c r="K5" s="402"/>
      <c r="L5" s="403"/>
      <c r="M5"/>
      <c r="N5" s="116"/>
      <c r="O5" s="116"/>
      <c r="P5" s="116"/>
      <c r="Q5" s="116"/>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row>
    <row r="6" spans="1:229" customFormat="1" ht="20.100000000000001" customHeight="1" x14ac:dyDescent="0.25">
      <c r="A6" s="56" t="s">
        <v>7</v>
      </c>
      <c r="B6" s="56" t="s">
        <v>0</v>
      </c>
      <c r="C6" s="56" t="s">
        <v>1</v>
      </c>
      <c r="D6" s="56" t="s">
        <v>2</v>
      </c>
      <c r="E6" s="54" t="s">
        <v>8</v>
      </c>
      <c r="F6" s="54" t="s">
        <v>28</v>
      </c>
      <c r="G6" s="89"/>
      <c r="N6" s="117"/>
      <c r="O6" s="117"/>
      <c r="P6" s="117"/>
      <c r="Q6" s="117"/>
    </row>
    <row r="7" spans="1:229" customFormat="1" ht="15" customHeight="1" x14ac:dyDescent="0.25">
      <c r="A7" s="39">
        <v>1</v>
      </c>
      <c r="B7" s="40" t="s">
        <v>10</v>
      </c>
      <c r="C7" s="41" t="s">
        <v>36</v>
      </c>
      <c r="D7" s="40"/>
      <c r="E7" s="42"/>
      <c r="F7" s="84">
        <v>1009251</v>
      </c>
      <c r="G7" s="76"/>
      <c r="N7" s="117"/>
      <c r="O7" s="117"/>
      <c r="P7" s="117"/>
      <c r="Q7" s="117"/>
    </row>
    <row r="8" spans="1:229" customFormat="1" ht="15" customHeight="1" x14ac:dyDescent="0.25">
      <c r="A8" s="44">
        <v>1</v>
      </c>
      <c r="B8" s="45" t="s">
        <v>39</v>
      </c>
      <c r="C8" s="46" t="s">
        <v>36</v>
      </c>
      <c r="D8" s="45"/>
      <c r="E8" s="47"/>
      <c r="F8" s="81"/>
      <c r="G8" s="76"/>
      <c r="N8" s="117"/>
      <c r="O8" s="117"/>
      <c r="P8" s="117"/>
      <c r="Q8" s="117"/>
    </row>
    <row r="9" spans="1:229" customFormat="1" ht="15" customHeight="1" x14ac:dyDescent="0.25">
      <c r="A9" s="44">
        <v>1</v>
      </c>
      <c r="B9" s="45" t="s">
        <v>37</v>
      </c>
      <c r="C9" s="46" t="s">
        <v>36</v>
      </c>
      <c r="D9" s="45"/>
      <c r="E9" s="47"/>
      <c r="F9" s="81">
        <v>1016020</v>
      </c>
      <c r="G9" s="76"/>
      <c r="H9" s="16"/>
      <c r="N9" s="117"/>
      <c r="O9" s="117"/>
      <c r="P9" s="117"/>
      <c r="Q9" s="117"/>
    </row>
    <row r="10" spans="1:229" customFormat="1" ht="15" customHeight="1" x14ac:dyDescent="0.25">
      <c r="A10" s="334" t="s">
        <v>86</v>
      </c>
      <c r="B10" s="335"/>
      <c r="C10" s="335"/>
      <c r="D10" s="335"/>
      <c r="E10" s="335"/>
      <c r="F10" s="336"/>
      <c r="G10" s="76"/>
      <c r="H10" s="16"/>
      <c r="N10" s="117"/>
      <c r="O10" s="117"/>
      <c r="P10" s="117"/>
      <c r="Q10" s="117"/>
    </row>
    <row r="11" spans="1:229" customFormat="1" ht="31.5" x14ac:dyDescent="0.25">
      <c r="A11" s="56" t="s">
        <v>7</v>
      </c>
      <c r="B11" s="56" t="s">
        <v>0</v>
      </c>
      <c r="C11" s="56" t="s">
        <v>1</v>
      </c>
      <c r="D11" s="56" t="s">
        <v>2</v>
      </c>
      <c r="E11" s="54" t="s">
        <v>8</v>
      </c>
      <c r="F11" s="54" t="s">
        <v>28</v>
      </c>
      <c r="G11" s="76"/>
      <c r="H11" s="54" t="s">
        <v>131</v>
      </c>
      <c r="I11" s="101" t="s">
        <v>132</v>
      </c>
      <c r="L11" t="s">
        <v>153</v>
      </c>
      <c r="M11" t="s">
        <v>154</v>
      </c>
      <c r="N11" s="117" t="s">
        <v>154</v>
      </c>
      <c r="O11" s="117" t="s">
        <v>154</v>
      </c>
      <c r="P11" s="117" t="s">
        <v>154</v>
      </c>
      <c r="Q11" s="117" t="s">
        <v>154</v>
      </c>
      <c r="R11" s="117"/>
    </row>
    <row r="12" spans="1:229" ht="15" customHeight="1" x14ac:dyDescent="0.25">
      <c r="A12" s="118"/>
      <c r="B12" s="49" t="str">
        <f>INDEX('Pricing (Drugs) SS'!$B:$B,MATCH(F12,'Pricing (Drugs) SS'!$A:$A,0))</f>
        <v>ADENOSINE</v>
      </c>
      <c r="C12" s="50" t="str">
        <f>IF(LEFT(F12,6)="Header","",INDEX('Pricing (Drugs) SS'!$E:$E,MATCH(F12,'Pricing (Drugs) SS'!$A:$A,0)))</f>
        <v/>
      </c>
      <c r="D12" s="49" t="str">
        <f>IF(LEFT(F12,6)="Header","",INDEX('Pricing (Drugs) SS'!$F:$F,MATCH(F12,'Pricing (Drugs) SS'!$A:$A,0)))</f>
        <v/>
      </c>
      <c r="E12" s="51" t="str">
        <f>IF(LEFT(F12,6)="Header","",INDEX('Pricing (Drugs) SS'!$D:$D,MATCH(F12,'Pricing (Drugs) SS'!$A:$A,0)))</f>
        <v/>
      </c>
      <c r="F12" s="119" t="s">
        <v>1538</v>
      </c>
      <c r="G12" s="214" t="str">
        <f>IF(LEFT(F12,6)="Header","",INDEX('Standard Cart Pricing Formulas'!$N:$N,MATCH(F12,'Standard Cart Pricing Formulas'!$F:$F,0)))</f>
        <v/>
      </c>
      <c r="H12" s="51"/>
      <c r="I12" s="272"/>
      <c r="L12" s="16" t="str">
        <f>IF(O12="Header","",INDEX('Standard Cart Pricing Formulas'!$N:$N,MATCH(F12,'Standard Cart Pricing Formulas'!$F:$F,0)))</f>
        <v/>
      </c>
      <c r="M12" s="16" t="str">
        <f>IF(LEFT(F12,6)="Header","",INDEX('Standard Cart Pricing Formulas'!$M:$M,MATCH(F12,'Standard Cart Pricing Formulas'!$F:$F,0)))</f>
        <v/>
      </c>
      <c r="N12" s="262" cm="1">
        <f t="array" aca="1" ref="N12" ca="1">CELL("protect",A12)</f>
        <v>1</v>
      </c>
      <c r="O12" s="262" t="str">
        <f t="shared" ref="O12:O43" si="0">LEFT(F12,6)</f>
        <v>HEADER</v>
      </c>
      <c r="P12" s="262" t="str">
        <f ca="1">IF(AND(N12=1,O12="header"),"Good",IF(AND(O12&lt;&gt;"Header",N12=0),"Good","Bad"))</f>
        <v>Good</v>
      </c>
      <c r="Q12" s="262" t="str">
        <f>IF(O12="header","",INDEX('Standard Cart Pricing Formulas'!$O:$O,MATCH(F12,'Standard Cart Pricing Formulas'!$F:$F,0)))</f>
        <v/>
      </c>
    </row>
    <row r="13" spans="1:229" ht="15" customHeight="1" x14ac:dyDescent="0.25">
      <c r="A13" s="48"/>
      <c r="B13" s="49" t="str">
        <f>INDEX('Pricing (Drugs) SS'!$B:$B,MATCH(F13,'Pricing (Drugs) SS'!$A:$A,0))</f>
        <v>ADENOSINE INJECTION, USP 6mg/2mL (3mg/mL) 2mL VIAL</v>
      </c>
      <c r="C13" s="50" t="str">
        <f>IF(LEFT(F13,6)="Header","",INDEX('Pricing (Drugs) SS'!$E:$E,MATCH(F13,'Pricing (Drugs) SS'!$A:$A,0)))</f>
        <v>3mg/mL</v>
      </c>
      <c r="D13" s="49" t="str">
        <f>IF(LEFT(F13,6)="Header","",INDEX('Pricing (Drugs) SS'!$F:$F,MATCH(F13,'Pricing (Drugs) SS'!$A:$A,0)))</f>
        <v>2mL</v>
      </c>
      <c r="E13" s="51" t="str">
        <f>IF(LEFT(F13,6)="Header","",INDEX('Pricing (Drugs) SS'!$D:$D,MATCH(F13,'Pricing (Drugs) SS'!$A:$A,0)))</f>
        <v>63323-651-02</v>
      </c>
      <c r="F13" s="119">
        <v>1020490</v>
      </c>
      <c r="G13" s="214" t="str">
        <f>IF(LEFT(F13,6)="Header","",INDEX('Standard Cart Pricing Formulas'!$N:$N,MATCH(F13,'Standard Cart Pricing Formulas'!$F:$F,0)))</f>
        <v/>
      </c>
      <c r="H13" s="269"/>
      <c r="I13" s="270"/>
      <c r="L13" s="16" t="str">
        <f>IF(O13="Header","",INDEX('Standard Cart Pricing Formulas'!$N:$N,MATCH(F13,'Standard Cart Pricing Formulas'!$F:$F,0)))</f>
        <v/>
      </c>
      <c r="M13" s="16" t="str">
        <f>IF(LEFT(F13,6)="Header","",INDEX('Standard Cart Pricing Formulas'!$M:$M,MATCH(F13,'Standard Cart Pricing Formulas'!$F:$F,0)))</f>
        <v/>
      </c>
      <c r="N13" s="262" cm="1">
        <f t="array" aca="1" ref="N13" ca="1">CELL("protect",A13)</f>
        <v>0</v>
      </c>
      <c r="O13" s="262" t="str">
        <f t="shared" si="0"/>
        <v>102049</v>
      </c>
      <c r="P13" s="262" t="str">
        <f t="shared" ref="P13:P76" ca="1" si="1">IF(AND(N13=1,O13="header"),"Good",IF(AND(O13&lt;&gt;"Header",N13=0),"Good","Bad"))</f>
        <v>Good</v>
      </c>
      <c r="Q13" s="262" t="str">
        <f>IF(O13="header","",INDEX('Standard Cart Pricing Formulas'!$O:$O,MATCH(F13,'Standard Cart Pricing Formulas'!$F:$F,0)))</f>
        <v/>
      </c>
    </row>
    <row r="14" spans="1:229" ht="15" customHeight="1" x14ac:dyDescent="0.25">
      <c r="A14" s="48"/>
      <c r="B14" s="49" t="str">
        <f>INDEX('Pricing (Drugs) SS'!$B:$B,MATCH(F14,'Pricing (Drugs) SS'!$A:$A,0))</f>
        <v>ADENOSINE INJECTION, USP 12mg/4mL (3mg/mL) 4mL VIAL</v>
      </c>
      <c r="C14" s="50" t="str">
        <f>IF(LEFT(F14,6)="Header","",INDEX('Pricing (Drugs) SS'!$E:$E,MATCH(F14,'Pricing (Drugs) SS'!$A:$A,0)))</f>
        <v>3mg/mL</v>
      </c>
      <c r="D14" s="49" t="str">
        <f>IF(LEFT(F14,6)="Header","",INDEX('Pricing (Drugs) SS'!$F:$F,MATCH(F14,'Pricing (Drugs) SS'!$A:$A,0)))</f>
        <v>4mL</v>
      </c>
      <c r="E14" s="51" t="str">
        <f>IF(LEFT(F14,6)="Header","",INDEX('Pricing (Drugs) SS'!$D:$D,MATCH(F14,'Pricing (Drugs) SS'!$A:$A,0)))</f>
        <v>63323-651-04</v>
      </c>
      <c r="F14" s="119">
        <v>1012700</v>
      </c>
      <c r="G14" s="214" t="str">
        <f>IF(LEFT(F14,6)="Header","",INDEX('Standard Cart Pricing Formulas'!$N:$N,MATCH(F14,'Standard Cart Pricing Formulas'!$F:$F,0)))</f>
        <v/>
      </c>
      <c r="H14" s="269"/>
      <c r="I14" s="270"/>
      <c r="L14" s="16" t="str">
        <f>IF(O14="Header","",INDEX('Standard Cart Pricing Formulas'!$N:$N,MATCH(F14,'Standard Cart Pricing Formulas'!$F:$F,0)))</f>
        <v/>
      </c>
      <c r="M14" s="16" t="str">
        <f>IF(LEFT(F14,6)="Header","",INDEX('Standard Cart Pricing Formulas'!$M:$M,MATCH(F14,'Standard Cart Pricing Formulas'!$F:$F,0)))</f>
        <v/>
      </c>
      <c r="N14" s="262" cm="1">
        <f t="array" aca="1" ref="N14" ca="1">CELL("protect",A14)</f>
        <v>0</v>
      </c>
      <c r="O14" s="262" t="str">
        <f t="shared" si="0"/>
        <v>101270</v>
      </c>
      <c r="P14" s="262" t="str">
        <f t="shared" ca="1" si="1"/>
        <v>Good</v>
      </c>
      <c r="Q14" s="262" t="str">
        <f>IF(O14="header","",INDEX('Standard Cart Pricing Formulas'!$O:$O,MATCH(F14,'Standard Cart Pricing Formulas'!$F:$F,0)))</f>
        <v/>
      </c>
    </row>
    <row r="15" spans="1:229" ht="15" customHeight="1" x14ac:dyDescent="0.25">
      <c r="A15" s="48"/>
      <c r="B15" s="49" t="str">
        <f>INDEX('Pricing (Drugs) SS'!$B:$B,MATCH(F15,'Pricing (Drugs) SS'!$A:$A,0))</f>
        <v>ADENOSINE INJECTION, USP 12mg PER 4mL (3mg PER mL) 4mL SYR</v>
      </c>
      <c r="C15" s="50" t="str">
        <f>IF(LEFT(F15,6)="Header","",INDEX('Pricing (Drugs) SS'!$E:$E,MATCH(F15,'Pricing (Drugs) SS'!$A:$A,0)))</f>
        <v>3mg/mL</v>
      </c>
      <c r="D15" s="49" t="str">
        <f>IF(LEFT(F15,6)="Header","",INDEX('Pricing (Drugs) SS'!$F:$F,MATCH(F15,'Pricing (Drugs) SS'!$A:$A,0)))</f>
        <v>4mL</v>
      </c>
      <c r="E15" s="51" t="str">
        <f>IF(LEFT(F15,6)="Header","",INDEX('Pricing (Drugs) SS'!$D:$D,MATCH(F15,'Pricing (Drugs) SS'!$A:$A,0)))</f>
        <v>63323-651-90</v>
      </c>
      <c r="F15" s="119">
        <v>1021740</v>
      </c>
      <c r="G15" s="214" t="str">
        <f>IF(LEFT(F15,6)="Header","",INDEX('Standard Cart Pricing Formulas'!$N:$N,MATCH(F15,'Standard Cart Pricing Formulas'!$F:$F,0)))</f>
        <v/>
      </c>
      <c r="H15" s="269"/>
      <c r="I15" s="270"/>
      <c r="L15" s="16" t="str">
        <f>IF(O15="Header","",INDEX('Standard Cart Pricing Formulas'!$N:$N,MATCH(F15,'Standard Cart Pricing Formulas'!$F:$F,0)))</f>
        <v/>
      </c>
      <c r="M15" s="16" t="str">
        <f>IF(LEFT(F15,6)="Header","",INDEX('Standard Cart Pricing Formulas'!$M:$M,MATCH(F15,'Standard Cart Pricing Formulas'!$F:$F,0)))</f>
        <v/>
      </c>
      <c r="N15" s="262" cm="1">
        <f t="array" aca="1" ref="N15" ca="1">CELL("protect",A15)</f>
        <v>0</v>
      </c>
      <c r="O15" s="262" t="str">
        <f t="shared" si="0"/>
        <v>102174</v>
      </c>
      <c r="P15" s="262" t="str">
        <f t="shared" ca="1" si="1"/>
        <v>Good</v>
      </c>
      <c r="Q15" s="262" t="str">
        <f>IF(O15="header","",INDEX('Standard Cart Pricing Formulas'!$O:$O,MATCH(F15,'Standard Cart Pricing Formulas'!$F:$F,0)))</f>
        <v/>
      </c>
    </row>
    <row r="16" spans="1:229" ht="15" customHeight="1" x14ac:dyDescent="0.25">
      <c r="A16" s="118"/>
      <c r="B16" s="49" t="str">
        <f>INDEX('Pricing (Drugs) SS'!$B:$B,MATCH(F16,'Pricing (Drugs) SS'!$A:$A,0))</f>
        <v>ALBUTEROL</v>
      </c>
      <c r="C16" s="50" t="str">
        <f>IF(LEFT(F16,6)="Header","",INDEX('Pricing (Drugs) SS'!$E:$E,MATCH(F16,'Pricing (Drugs) SS'!$A:$A,0)))</f>
        <v/>
      </c>
      <c r="D16" s="49" t="str">
        <f>IF(LEFT(F16,6)="Header","",INDEX('Pricing (Drugs) SS'!$F:$F,MATCH(F16,'Pricing (Drugs) SS'!$A:$A,0)))</f>
        <v/>
      </c>
      <c r="E16" s="51" t="str">
        <f>IF(LEFT(F16,6)="Header","",INDEX('Pricing (Drugs) SS'!$D:$D,MATCH(F16,'Pricing (Drugs) SS'!$A:$A,0)))</f>
        <v/>
      </c>
      <c r="F16" s="119" t="s">
        <v>1539</v>
      </c>
      <c r="G16" s="214" t="str">
        <f>IF(LEFT(F16,6)="Header","",INDEX('Standard Cart Pricing Formulas'!$N:$N,MATCH(F16,'Standard Cart Pricing Formulas'!$F:$F,0)))</f>
        <v/>
      </c>
      <c r="H16" s="51"/>
      <c r="I16" s="272"/>
      <c r="L16" s="16" t="str">
        <f>IF(O16="Header","",INDEX('Standard Cart Pricing Formulas'!$N:$N,MATCH(F16,'Standard Cart Pricing Formulas'!$F:$F,0)))</f>
        <v/>
      </c>
      <c r="M16" s="16" t="str">
        <f>IF(LEFT(F16,6)="Header","",INDEX('Standard Cart Pricing Formulas'!$M:$M,MATCH(F16,'Standard Cart Pricing Formulas'!$F:$F,0)))</f>
        <v/>
      </c>
      <c r="N16" s="262" cm="1">
        <f t="array" aca="1" ref="N16" ca="1">CELL("protect",A16)</f>
        <v>1</v>
      </c>
      <c r="O16" s="262" t="str">
        <f t="shared" si="0"/>
        <v>HEADER</v>
      </c>
      <c r="P16" s="262" t="str">
        <f t="shared" ca="1" si="1"/>
        <v>Good</v>
      </c>
      <c r="Q16" s="262" t="str">
        <f>IF(O16="header","",INDEX('Standard Cart Pricing Formulas'!$O:$O,MATCH(F16,'Standard Cart Pricing Formulas'!$F:$F,0)))</f>
        <v/>
      </c>
    </row>
    <row r="17" spans="1:17" ht="15" customHeight="1" x14ac:dyDescent="0.25">
      <c r="A17" s="48"/>
      <c r="B17" s="49" t="str">
        <f>INDEX('Pricing (Drugs) SS'!$B:$B,MATCH(F17,'Pricing (Drugs) SS'!$A:$A,0))</f>
        <v>VENTOLIN® HFA (ALBUTEROL SULFATE) 90mcg BOXED</v>
      </c>
      <c r="C17" s="50" t="str">
        <f>IF(LEFT(F17,6)="Header","",INDEX('Pricing (Drugs) SS'!$E:$E,MATCH(F17,'Pricing (Drugs) SS'!$A:$A,0)))</f>
        <v>90mcg</v>
      </c>
      <c r="D17" s="49" t="str">
        <f>IF(LEFT(F17,6)="Header","",INDEX('Pricing (Drugs) SS'!$F:$F,MATCH(F17,'Pricing (Drugs) SS'!$A:$A,0)))</f>
        <v>8gm</v>
      </c>
      <c r="E17" s="51" t="str">
        <f>IF(LEFT(F17,6)="Header","",INDEX('Pricing (Drugs) SS'!$D:$D,MATCH(F17,'Pricing (Drugs) SS'!$A:$A,0)))</f>
        <v>0173-0682-24</v>
      </c>
      <c r="F17" s="119">
        <v>1000700</v>
      </c>
      <c r="G17" s="214" t="str">
        <f>IF(LEFT(F17,6)="Header","",INDEX('Standard Cart Pricing Formulas'!$N:$N,MATCH(F17,'Standard Cart Pricing Formulas'!$F:$F,0)))</f>
        <v/>
      </c>
      <c r="H17" s="269"/>
      <c r="I17" s="270"/>
      <c r="L17" s="16" t="str">
        <f>IF(O17="Header","",INDEX('Standard Cart Pricing Formulas'!$N:$N,MATCH(F17,'Standard Cart Pricing Formulas'!$F:$F,0)))</f>
        <v/>
      </c>
      <c r="M17" s="16" t="str">
        <f>IF(LEFT(F17,6)="Header","",INDEX('Standard Cart Pricing Formulas'!$M:$M,MATCH(F17,'Standard Cart Pricing Formulas'!$F:$F,0)))</f>
        <v/>
      </c>
      <c r="N17" s="262" cm="1">
        <f t="array" aca="1" ref="N17" ca="1">CELL("protect",A17)</f>
        <v>0</v>
      </c>
      <c r="O17" s="262" t="str">
        <f t="shared" si="0"/>
        <v>100070</v>
      </c>
      <c r="P17" s="262" t="str">
        <f t="shared" ca="1" si="1"/>
        <v>Good</v>
      </c>
      <c r="Q17" s="262" t="str">
        <f>IF(O17="header","",INDEX('Standard Cart Pricing Formulas'!$O:$O,MATCH(F17,'Standard Cart Pricing Formulas'!$F:$F,0)))</f>
        <v/>
      </c>
    </row>
    <row r="18" spans="1:17" ht="15" customHeight="1" x14ac:dyDescent="0.25">
      <c r="A18" s="118"/>
      <c r="B18" s="49" t="str">
        <f>INDEX('Pricing (Drugs) SS'!$B:$B,MATCH(F18,'Pricing (Drugs) SS'!$A:$A,0))</f>
        <v>AMINOPHYLLINE</v>
      </c>
      <c r="C18" s="50" t="str">
        <f>IF(LEFT(F18,6)="Header","",INDEX('Pricing (Drugs) SS'!$E:$E,MATCH(F18,'Pricing (Drugs) SS'!$A:$A,0)))</f>
        <v/>
      </c>
      <c r="D18" s="49" t="str">
        <f>IF(LEFT(F18,6)="Header","",INDEX('Pricing (Drugs) SS'!$F:$F,MATCH(F18,'Pricing (Drugs) SS'!$A:$A,0)))</f>
        <v/>
      </c>
      <c r="E18" s="51" t="str">
        <f>IF(LEFT(F18,6)="Header","",INDEX('Pricing (Drugs) SS'!$D:$D,MATCH(F18,'Pricing (Drugs) SS'!$A:$A,0)))</f>
        <v/>
      </c>
      <c r="F18" s="119" t="s">
        <v>1540</v>
      </c>
      <c r="G18" s="214" t="str">
        <f>IF(LEFT(F18,6)="Header","",INDEX('Standard Cart Pricing Formulas'!$N:$N,MATCH(F18,'Standard Cart Pricing Formulas'!$F:$F,0)))</f>
        <v/>
      </c>
      <c r="H18" s="51"/>
      <c r="I18" s="272"/>
      <c r="L18" s="16" t="str">
        <f>IF(O18="Header","",INDEX('Standard Cart Pricing Formulas'!$N:$N,MATCH(F18,'Standard Cart Pricing Formulas'!$F:$F,0)))</f>
        <v/>
      </c>
      <c r="M18" s="16" t="str">
        <f>IF(LEFT(F18,6)="Header","",INDEX('Standard Cart Pricing Formulas'!$M:$M,MATCH(F18,'Standard Cart Pricing Formulas'!$F:$F,0)))</f>
        <v/>
      </c>
      <c r="N18" s="262" cm="1">
        <f t="array" aca="1" ref="N18" ca="1">CELL("protect",A18)</f>
        <v>1</v>
      </c>
      <c r="O18" s="262" t="str">
        <f t="shared" si="0"/>
        <v>HEADER</v>
      </c>
      <c r="P18" s="262" t="str">
        <f t="shared" ca="1" si="1"/>
        <v>Good</v>
      </c>
      <c r="Q18" s="262" t="str">
        <f>IF(O18="header","",INDEX('Standard Cart Pricing Formulas'!$O:$O,MATCH(F18,'Standard Cart Pricing Formulas'!$F:$F,0)))</f>
        <v/>
      </c>
    </row>
    <row r="19" spans="1:17" ht="15" customHeight="1" x14ac:dyDescent="0.25">
      <c r="A19" s="48"/>
      <c r="B19" s="49" t="str">
        <f>INDEX('Pricing (Drugs) SS'!$B:$B,MATCH(F19,'Pricing (Drugs) SS'!$A:$A,0))</f>
        <v>AMINOPHYLLINE INJECTION, USP 250mg (25mg/mL) 10mL VIAL</v>
      </c>
      <c r="C19" s="50" t="str">
        <f>IF(LEFT(F19,6)="Header","",INDEX('Pricing (Drugs) SS'!$E:$E,MATCH(F19,'Pricing (Drugs) SS'!$A:$A,0)))</f>
        <v>25mg/mL</v>
      </c>
      <c r="D19" s="49" t="str">
        <f>IF(LEFT(F19,6)="Header","",INDEX('Pricing (Drugs) SS'!$F:$F,MATCH(F19,'Pricing (Drugs) SS'!$A:$A,0)))</f>
        <v>10mL</v>
      </c>
      <c r="E19" s="51" t="str">
        <f>IF(LEFT(F19,6)="Header","",INDEX('Pricing (Drugs) SS'!$D:$D,MATCH(F19,'Pricing (Drugs) SS'!$A:$A,0)))</f>
        <v>0409-5921-01</v>
      </c>
      <c r="F19" s="119">
        <v>1000050</v>
      </c>
      <c r="G19" s="214" t="str">
        <f>IF(LEFT(F19,6)="Header","",INDEX('Standard Cart Pricing Formulas'!$N:$N,MATCH(F19,'Standard Cart Pricing Formulas'!$F:$F,0)))</f>
        <v/>
      </c>
      <c r="H19" s="269"/>
      <c r="I19" s="270"/>
      <c r="L19" s="16" t="str">
        <f>IF(O19="Header","",INDEX('Standard Cart Pricing Formulas'!$N:$N,MATCH(F19,'Standard Cart Pricing Formulas'!$F:$F,0)))</f>
        <v/>
      </c>
      <c r="M19" s="16" t="str">
        <f>IF(LEFT(F19,6)="Header","",INDEX('Standard Cart Pricing Formulas'!$M:$M,MATCH(F19,'Standard Cart Pricing Formulas'!$F:$F,0)))</f>
        <v/>
      </c>
      <c r="N19" s="262" cm="1">
        <f t="array" aca="1" ref="N19" ca="1">CELL("protect",A19)</f>
        <v>0</v>
      </c>
      <c r="O19" s="262" t="str">
        <f t="shared" si="0"/>
        <v>100005</v>
      </c>
      <c r="P19" s="262" t="str">
        <f t="shared" ca="1" si="1"/>
        <v>Good</v>
      </c>
      <c r="Q19" s="262" t="str">
        <f>IF(O19="header","",INDEX('Standard Cart Pricing Formulas'!$O:$O,MATCH(F19,'Standard Cart Pricing Formulas'!$F:$F,0)))</f>
        <v/>
      </c>
    </row>
    <row r="20" spans="1:17" s="263" customFormat="1" ht="15" customHeight="1" x14ac:dyDescent="0.25">
      <c r="A20" s="48"/>
      <c r="B20" s="49" t="str">
        <f>INDEX('Pricing (Drugs) SS'!$B:$B,MATCH(F20,'Pricing (Drugs) SS'!$A:$A,0))</f>
        <v>AMINOPHYLLINE INJ., USP 500mg (25mg/mL) 20mL VIAL</v>
      </c>
      <c r="C20" s="50" t="str">
        <f>IF(LEFT(F20,6)="Header","",INDEX('Pricing (Drugs) SS'!$E:$E,MATCH(F20,'Pricing (Drugs) SS'!$A:$A,0)))</f>
        <v>25mg/mL</v>
      </c>
      <c r="D20" s="49" t="str">
        <f>IF(LEFT(F20,6)="Header","",INDEX('Pricing (Drugs) SS'!$F:$F,MATCH(F20,'Pricing (Drugs) SS'!$A:$A,0)))</f>
        <v>20mL</v>
      </c>
      <c r="E20" s="51" t="str">
        <f>IF(LEFT(F20,6)="Header","",INDEX('Pricing (Drugs) SS'!$D:$D,MATCH(F20,'Pricing (Drugs) SS'!$A:$A,0)))</f>
        <v>0409-5922-01</v>
      </c>
      <c r="F20" s="119">
        <v>1010140</v>
      </c>
      <c r="G20" s="214" t="str">
        <f>IF(LEFT(F20,6)="Header","",INDEX('Standard Cart Pricing Formulas'!$N:$N,MATCH(F20,'Standard Cart Pricing Formulas'!$F:$F,0)))</f>
        <v/>
      </c>
      <c r="H20" s="269"/>
      <c r="I20" s="270"/>
      <c r="L20" s="16" t="str">
        <f>IF(O20="Header","",INDEX('Standard Cart Pricing Formulas'!$N:$N,MATCH(F20,'Standard Cart Pricing Formulas'!$F:$F,0)))</f>
        <v/>
      </c>
      <c r="M20" s="16" t="str">
        <f>IF(LEFT(F20,6)="Header","",INDEX('Standard Cart Pricing Formulas'!$M:$M,MATCH(F20,'Standard Cart Pricing Formulas'!$F:$F,0)))</f>
        <v/>
      </c>
      <c r="N20" s="262" cm="1">
        <f t="array" aca="1" ref="N20" ca="1">CELL("protect",A20)</f>
        <v>0</v>
      </c>
      <c r="O20" s="262" t="str">
        <f t="shared" si="0"/>
        <v>101014</v>
      </c>
      <c r="P20" s="262" t="str">
        <f t="shared" ca="1" si="1"/>
        <v>Good</v>
      </c>
      <c r="Q20" s="262" t="str">
        <f>IF(O20="header","",INDEX('Standard Cart Pricing Formulas'!$O:$O,MATCH(F20,'Standard Cart Pricing Formulas'!$F:$F,0)))</f>
        <v/>
      </c>
    </row>
    <row r="21" spans="1:17" ht="15" customHeight="1" x14ac:dyDescent="0.25">
      <c r="A21" s="118"/>
      <c r="B21" s="49" t="str">
        <f>INDEX('Pricing (Drugs) SS'!$B:$B,MATCH(F21,'Pricing (Drugs) SS'!$A:$A,0))</f>
        <v>AMIODARONE</v>
      </c>
      <c r="C21" s="50" t="str">
        <f>IF(LEFT(F21,6)="Header","",INDEX('Pricing (Drugs) SS'!$E:$E,MATCH(F21,'Pricing (Drugs) SS'!$A:$A,0)))</f>
        <v/>
      </c>
      <c r="D21" s="49" t="str">
        <f>IF(LEFT(F21,6)="Header","",INDEX('Pricing (Drugs) SS'!$F:$F,MATCH(F21,'Pricing (Drugs) SS'!$A:$A,0)))</f>
        <v/>
      </c>
      <c r="E21" s="51" t="str">
        <f>IF(LEFT(F21,6)="Header","",INDEX('Pricing (Drugs) SS'!$D:$D,MATCH(F21,'Pricing (Drugs) SS'!$A:$A,0)))</f>
        <v/>
      </c>
      <c r="F21" s="119" t="s">
        <v>1541</v>
      </c>
      <c r="G21" s="214" t="str">
        <f>IF(LEFT(F21,6)="Header","",INDEX('Standard Cart Pricing Formulas'!$N:$N,MATCH(F21,'Standard Cart Pricing Formulas'!$F:$F,0)))</f>
        <v/>
      </c>
      <c r="H21" s="51"/>
      <c r="I21" s="272"/>
      <c r="L21" s="16" t="str">
        <f>IF(O21="Header","",INDEX('Standard Cart Pricing Formulas'!$N:$N,MATCH(F21,'Standard Cart Pricing Formulas'!$F:$F,0)))</f>
        <v/>
      </c>
      <c r="M21" s="16" t="str">
        <f>IF(LEFT(F21,6)="Header","",INDEX('Standard Cart Pricing Formulas'!$M:$M,MATCH(F21,'Standard Cart Pricing Formulas'!$F:$F,0)))</f>
        <v/>
      </c>
      <c r="N21" s="262" cm="1">
        <f t="array" aca="1" ref="N21" ca="1">CELL("protect",A21)</f>
        <v>1</v>
      </c>
      <c r="O21" s="262" t="str">
        <f t="shared" si="0"/>
        <v>HEADER</v>
      </c>
      <c r="P21" s="262" t="str">
        <f t="shared" ca="1" si="1"/>
        <v>Good</v>
      </c>
      <c r="Q21" s="262" t="str">
        <f>IF(O21="header","",INDEX('Standard Cart Pricing Formulas'!$O:$O,MATCH(F21,'Standard Cart Pricing Formulas'!$F:$F,0)))</f>
        <v/>
      </c>
    </row>
    <row r="22" spans="1:17" ht="15" customHeight="1" x14ac:dyDescent="0.25">
      <c r="A22" s="48"/>
      <c r="B22" s="49" t="str">
        <f>INDEX('Pricing (Drugs) SS'!$B:$B,MATCH(F22,'Pricing (Drugs) SS'!$A:$A,0))</f>
        <v>AMIODARONE HYDROCHLORIDE INJECTION 150mg/3mL (50mg/mL) VIAL</v>
      </c>
      <c r="C22" s="50" t="str">
        <f>IF(LEFT(F22,6)="Header","",INDEX('Pricing (Drugs) SS'!$E:$E,MATCH(F22,'Pricing (Drugs) SS'!$A:$A,0)))</f>
        <v>50mg/mL</v>
      </c>
      <c r="D22" s="49" t="str">
        <f>IF(LEFT(F22,6)="Header","",INDEX('Pricing (Drugs) SS'!$F:$F,MATCH(F22,'Pricing (Drugs) SS'!$A:$A,0)))</f>
        <v>3mL</v>
      </c>
      <c r="E22" s="51" t="str">
        <f>IF(LEFT(F22,6)="Header","",INDEX('Pricing (Drugs) SS'!$D:$D,MATCH(F22,'Pricing (Drugs) SS'!$A:$A,0)))</f>
        <v>0143-9875-25</v>
      </c>
      <c r="F22" s="119">
        <v>1000060</v>
      </c>
      <c r="G22" s="214" t="str">
        <f>IF(LEFT(F22,6)="Header","",INDEX('Standard Cart Pricing Formulas'!$N:$N,MATCH(F22,'Standard Cart Pricing Formulas'!$F:$F,0)))</f>
        <v/>
      </c>
      <c r="H22" s="269"/>
      <c r="I22" s="270"/>
      <c r="L22" s="16" t="str">
        <f>IF(O22="Header","",INDEX('Standard Cart Pricing Formulas'!$N:$N,MATCH(F22,'Standard Cart Pricing Formulas'!$F:$F,0)))</f>
        <v/>
      </c>
      <c r="M22" s="16" t="str">
        <f>IF(LEFT(F22,6)="Header","",INDEX('Standard Cart Pricing Formulas'!$M:$M,MATCH(F22,'Standard Cart Pricing Formulas'!$F:$F,0)))</f>
        <v/>
      </c>
      <c r="N22" s="262" cm="1">
        <f t="array" aca="1" ref="N22" ca="1">CELL("protect",A22)</f>
        <v>0</v>
      </c>
      <c r="O22" s="262" t="str">
        <f t="shared" si="0"/>
        <v>100006</v>
      </c>
      <c r="P22" s="262" t="str">
        <f t="shared" ca="1" si="1"/>
        <v>Good</v>
      </c>
      <c r="Q22" s="262" t="str">
        <f>IF(O22="header","",INDEX('Standard Cart Pricing Formulas'!$O:$O,MATCH(F22,'Standard Cart Pricing Formulas'!$F:$F,0)))</f>
        <v/>
      </c>
    </row>
    <row r="23" spans="1:17" ht="15" customHeight="1" x14ac:dyDescent="0.25">
      <c r="A23" s="48"/>
      <c r="B23" s="49" t="str">
        <f>INDEX('Pricing (Drugs) SS'!$B:$B,MATCH(F23,'Pricing (Drugs) SS'!$A:$A,0))</f>
        <v>AMIODARONE HYDROCHLORIDE INJECTION 900mg/18mL (50mg/mL) 18mL VIAL</v>
      </c>
      <c r="C23" s="50" t="str">
        <f>IF(LEFT(F23,6)="Header","",INDEX('Pricing (Drugs) SS'!$E:$E,MATCH(F23,'Pricing (Drugs) SS'!$A:$A,0)))</f>
        <v>50mg/mL</v>
      </c>
      <c r="D23" s="49" t="str">
        <f>IF(LEFT(F23,6)="Header","",INDEX('Pricing (Drugs) SS'!$F:$F,MATCH(F23,'Pricing (Drugs) SS'!$A:$A,0)))</f>
        <v>18mL</v>
      </c>
      <c r="E23" s="51" t="str">
        <f>IF(LEFT(F23,6)="Header","",INDEX('Pricing (Drugs) SS'!$D:$D,MATCH(F23,'Pricing (Drugs) SS'!$A:$A,0)))</f>
        <v>67457-0153-18</v>
      </c>
      <c r="F23" s="119">
        <v>1011280</v>
      </c>
      <c r="G23" s="214" t="str">
        <f>IF(LEFT(F23,6)="Header","",INDEX('Standard Cart Pricing Formulas'!$N:$N,MATCH(F23,'Standard Cart Pricing Formulas'!$F:$F,0)))</f>
        <v/>
      </c>
      <c r="H23" s="269"/>
      <c r="I23" s="270"/>
      <c r="L23" s="16" t="str">
        <f>IF(O23="Header","",INDEX('Standard Cart Pricing Formulas'!$N:$N,MATCH(F23,'Standard Cart Pricing Formulas'!$F:$F,0)))</f>
        <v/>
      </c>
      <c r="M23" s="16" t="str">
        <f>IF(LEFT(F23,6)="Header","",INDEX('Standard Cart Pricing Formulas'!$M:$M,MATCH(F23,'Standard Cart Pricing Formulas'!$F:$F,0)))</f>
        <v/>
      </c>
      <c r="N23" s="262" cm="1">
        <f t="array" aca="1" ref="N23" ca="1">CELL("protect",A23)</f>
        <v>0</v>
      </c>
      <c r="O23" s="262" t="str">
        <f t="shared" si="0"/>
        <v>101128</v>
      </c>
      <c r="P23" s="262" t="str">
        <f t="shared" ca="1" si="1"/>
        <v>Good</v>
      </c>
      <c r="Q23" s="262" t="str">
        <f>IF(O23="header","",INDEX('Standard Cart Pricing Formulas'!$O:$O,MATCH(F23,'Standard Cart Pricing Formulas'!$F:$F,0)))</f>
        <v/>
      </c>
    </row>
    <row r="24" spans="1:17" ht="15" customHeight="1" x14ac:dyDescent="0.25">
      <c r="A24" s="48"/>
      <c r="B24" s="49" t="str">
        <f>INDEX('Pricing (Drugs) SS'!$B:$B,MATCH(F24,'Pricing (Drugs) SS'!$A:$A,0))</f>
        <v>NEXTERONE (AMIODARONE HCI) PREMIXED INJECTION 360mg/200mL (1.8mg/mL) 200mL BAG</v>
      </c>
      <c r="C24" s="50" t="str">
        <f>IF(LEFT(F24,6)="Header","",INDEX('Pricing (Drugs) SS'!$E:$E,MATCH(F24,'Pricing (Drugs) SS'!$A:$A,0)))</f>
        <v>1.8mg/mL</v>
      </c>
      <c r="D24" s="49" t="str">
        <f>IF(LEFT(F24,6)="Header","",INDEX('Pricing (Drugs) SS'!$F:$F,MATCH(F24,'Pricing (Drugs) SS'!$A:$A,0)))</f>
        <v>200mL</v>
      </c>
      <c r="E24" s="51" t="str">
        <f>IF(LEFT(F24,6)="Header","",INDEX('Pricing (Drugs) SS'!$D:$D,MATCH(F24,'Pricing (Drugs) SS'!$A:$A,0)))</f>
        <v>43066-360-20</v>
      </c>
      <c r="F24" s="119">
        <v>1013010</v>
      </c>
      <c r="G24" s="214" t="str">
        <f>IF(LEFT(F24,6)="Header","",INDEX('Standard Cart Pricing Formulas'!$N:$N,MATCH(F24,'Standard Cart Pricing Formulas'!$F:$F,0)))</f>
        <v/>
      </c>
      <c r="H24" s="269"/>
      <c r="I24" s="270"/>
      <c r="L24" s="16" t="str">
        <f>IF(O24="Header","",INDEX('Standard Cart Pricing Formulas'!$N:$N,MATCH(F24,'Standard Cart Pricing Formulas'!$F:$F,0)))</f>
        <v/>
      </c>
      <c r="M24" s="16" t="str">
        <f>IF(LEFT(F24,6)="Header","",INDEX('Standard Cart Pricing Formulas'!$M:$M,MATCH(F24,'Standard Cart Pricing Formulas'!$F:$F,0)))</f>
        <v/>
      </c>
      <c r="N24" s="262" cm="1">
        <f t="array" aca="1" ref="N24" ca="1">CELL("protect",A24)</f>
        <v>0</v>
      </c>
      <c r="O24" s="262" t="str">
        <f t="shared" si="0"/>
        <v>101301</v>
      </c>
      <c r="P24" s="262" t="str">
        <f t="shared" ca="1" si="1"/>
        <v>Good</v>
      </c>
      <c r="Q24" s="262" t="str">
        <f>IF(O24="header","",INDEX('Standard Cart Pricing Formulas'!$O:$O,MATCH(F24,'Standard Cart Pricing Formulas'!$F:$F,0)))</f>
        <v/>
      </c>
    </row>
    <row r="25" spans="1:17" ht="15" customHeight="1" x14ac:dyDescent="0.25">
      <c r="A25" s="118"/>
      <c r="B25" s="49" t="str">
        <f>INDEX('Pricing (Drugs) SS'!$B:$B,MATCH(F25,'Pricing (Drugs) SS'!$A:$A,0))</f>
        <v>ASPIRIN</v>
      </c>
      <c r="C25" s="50" t="str">
        <f>IF(LEFT(F25,6)="Header","",INDEX('Pricing (Drugs) SS'!$E:$E,MATCH(F25,'Pricing (Drugs) SS'!$A:$A,0)))</f>
        <v/>
      </c>
      <c r="D25" s="49" t="str">
        <f>IF(LEFT(F25,6)="Header","",INDEX('Pricing (Drugs) SS'!$F:$F,MATCH(F25,'Pricing (Drugs) SS'!$A:$A,0)))</f>
        <v/>
      </c>
      <c r="E25" s="51" t="str">
        <f>IF(LEFT(F25,6)="Header","",INDEX('Pricing (Drugs) SS'!$D:$D,MATCH(F25,'Pricing (Drugs) SS'!$A:$A,0)))</f>
        <v/>
      </c>
      <c r="F25" s="119" t="s">
        <v>1542</v>
      </c>
      <c r="G25" s="214" t="str">
        <f>IF(LEFT(F25,6)="Header","",INDEX('Standard Cart Pricing Formulas'!$N:$N,MATCH(F25,'Standard Cart Pricing Formulas'!$F:$F,0)))</f>
        <v/>
      </c>
      <c r="H25" s="51"/>
      <c r="I25" s="272"/>
      <c r="L25" s="16" t="str">
        <f>IF(O25="Header","",INDEX('Standard Cart Pricing Formulas'!$N:$N,MATCH(F25,'Standard Cart Pricing Formulas'!$F:$F,0)))</f>
        <v/>
      </c>
      <c r="M25" s="16" t="str">
        <f>IF(LEFT(F25,6)="Header","",INDEX('Standard Cart Pricing Formulas'!$M:$M,MATCH(F25,'Standard Cart Pricing Formulas'!$F:$F,0)))</f>
        <v/>
      </c>
      <c r="N25" s="262" cm="1">
        <f t="array" aca="1" ref="N25" ca="1">CELL("protect",A25)</f>
        <v>1</v>
      </c>
      <c r="O25" s="262" t="str">
        <f t="shared" si="0"/>
        <v>HEADER</v>
      </c>
      <c r="P25" s="262" t="str">
        <f t="shared" ca="1" si="1"/>
        <v>Good</v>
      </c>
      <c r="Q25" s="262" t="str">
        <f>IF(O25="header","",INDEX('Standard Cart Pricing Formulas'!$O:$O,MATCH(F25,'Standard Cart Pricing Formulas'!$F:$F,0)))</f>
        <v/>
      </c>
    </row>
    <row r="26" spans="1:17" ht="15" customHeight="1" x14ac:dyDescent="0.25">
      <c r="A26" s="48"/>
      <c r="B26" s="49" t="str">
        <f>INDEX('Pricing (Drugs) SS'!$B:$B,MATCH(F26,'Pricing (Drugs) SS'!$A:$A,0))</f>
        <v>ASPIRIN (NSAID) 325mg 2 TABLET (2 PACKS)</v>
      </c>
      <c r="C26" s="50" t="str">
        <f>IF(LEFT(F26,6)="Header","",INDEX('Pricing (Drugs) SS'!$E:$E,MATCH(F26,'Pricing (Drugs) SS'!$A:$A,0)))</f>
        <v>325mg</v>
      </c>
      <c r="D26" s="49" t="str">
        <f>IF(LEFT(F26,6)="Header","",INDEX('Pricing (Drugs) SS'!$F:$F,MATCH(F26,'Pricing (Drugs) SS'!$A:$A,0)))</f>
        <v>2 tablets</v>
      </c>
      <c r="E26" s="51" t="str">
        <f>IF(LEFT(F26,6)="Header","",INDEX('Pricing (Drugs) SS'!$D:$D,MATCH(F26,'Pricing (Drugs) SS'!$A:$A,0)))</f>
        <v>0924-0104-01</v>
      </c>
      <c r="F26" s="119">
        <v>1017600</v>
      </c>
      <c r="G26" s="214" t="str">
        <f>IF(LEFT(F26,6)="Header","",INDEX('Standard Cart Pricing Formulas'!$N:$N,MATCH(F26,'Standard Cart Pricing Formulas'!$F:$F,0)))</f>
        <v/>
      </c>
      <c r="H26" s="269"/>
      <c r="I26" s="270"/>
      <c r="L26" s="16" t="str">
        <f>IF(O26="Header","",INDEX('Standard Cart Pricing Formulas'!$N:$N,MATCH(F26,'Standard Cart Pricing Formulas'!$F:$F,0)))</f>
        <v/>
      </c>
      <c r="M26" s="16" t="str">
        <f>IF(LEFT(F26,6)="Header","",INDEX('Standard Cart Pricing Formulas'!$M:$M,MATCH(F26,'Standard Cart Pricing Formulas'!$F:$F,0)))</f>
        <v/>
      </c>
      <c r="N26" s="262" cm="1">
        <f t="array" aca="1" ref="N26" ca="1">CELL("protect",A26)</f>
        <v>0</v>
      </c>
      <c r="O26" s="262" t="str">
        <f t="shared" si="0"/>
        <v>101760</v>
      </c>
      <c r="P26" s="262" t="str">
        <f t="shared" ca="1" si="1"/>
        <v>Good</v>
      </c>
      <c r="Q26" s="262" t="str">
        <f>IF(O26="header","",INDEX('Standard Cart Pricing Formulas'!$O:$O,MATCH(F26,'Standard Cart Pricing Formulas'!$F:$F,0)))</f>
        <v/>
      </c>
    </row>
    <row r="27" spans="1:17" ht="15" customHeight="1" x14ac:dyDescent="0.25">
      <c r="A27" s="48"/>
      <c r="B27" s="49" t="str">
        <f>INDEX('Pricing (Drugs) SS'!$B:$B,MATCH(F27,'Pricing (Drugs) SS'!$A:$A,0))</f>
        <v>ASPIRIN LOW DOSE CHEWABLE ORANGE PAIN RELIEVER (NSAID) 81mg 90/bt</v>
      </c>
      <c r="C27" s="50" t="str">
        <f>IF(LEFT(F27,6)="Header","",INDEX('Pricing (Drugs) SS'!$E:$E,MATCH(F27,'Pricing (Drugs) SS'!$A:$A,0)))</f>
        <v>81mg</v>
      </c>
      <c r="D27" s="49" t="str">
        <f>IF(LEFT(F27,6)="Header","",INDEX('Pricing (Drugs) SS'!$F:$F,MATCH(F27,'Pricing (Drugs) SS'!$A:$A,0)))</f>
        <v>TAB</v>
      </c>
      <c r="E27" s="51" t="str">
        <f>IF(LEFT(F27,6)="Header","",INDEX('Pricing (Drugs) SS'!$D:$D,MATCH(F27,'Pricing (Drugs) SS'!$A:$A,0)))</f>
        <v>0904-6794-89</v>
      </c>
      <c r="F27" s="119">
        <v>1010220</v>
      </c>
      <c r="G27" s="214" t="str">
        <f>IF(LEFT(F27,6)="Header","",INDEX('Standard Cart Pricing Formulas'!$N:$N,MATCH(F27,'Standard Cart Pricing Formulas'!$F:$F,0)))</f>
        <v/>
      </c>
      <c r="H27" s="269"/>
      <c r="I27" s="270"/>
      <c r="L27" s="16" t="str">
        <f>IF(O27="Header","",INDEX('Standard Cart Pricing Formulas'!$N:$N,MATCH(F27,'Standard Cart Pricing Formulas'!$F:$F,0)))</f>
        <v/>
      </c>
      <c r="M27" s="16" t="str">
        <f>IF(LEFT(F27,6)="Header","",INDEX('Standard Cart Pricing Formulas'!$M:$M,MATCH(F27,'Standard Cart Pricing Formulas'!$F:$F,0)))</f>
        <v/>
      </c>
      <c r="N27" s="262" cm="1">
        <f t="array" aca="1" ref="N27" ca="1">CELL("protect",A27)</f>
        <v>0</v>
      </c>
      <c r="O27" s="262" t="str">
        <f t="shared" si="0"/>
        <v>101022</v>
      </c>
      <c r="P27" s="262" t="str">
        <f t="shared" ca="1" si="1"/>
        <v>Good</v>
      </c>
      <c r="Q27" s="262" t="str">
        <f>IF(O27="header","",INDEX('Standard Cart Pricing Formulas'!$O:$O,MATCH(F27,'Standard Cart Pricing Formulas'!$F:$F,0)))</f>
        <v/>
      </c>
    </row>
    <row r="28" spans="1:17" ht="15" customHeight="1" x14ac:dyDescent="0.25">
      <c r="A28" s="48"/>
      <c r="B28" s="49" t="str">
        <f>INDEX('Pricing (Drugs) SS'!$B:$B,MATCH(F28,'Pricing (Drugs) SS'!$A:$A,0))</f>
        <v>ASPIRIN (NSAID) 325mg EACH 100 TABLETS</v>
      </c>
      <c r="C28" s="50" t="str">
        <f>IF(LEFT(F28,6)="Header","",INDEX('Pricing (Drugs) SS'!$E:$E,MATCH(F28,'Pricing (Drugs) SS'!$A:$A,0)))</f>
        <v>325 mg</v>
      </c>
      <c r="D28" s="49" t="str">
        <f>IF(LEFT(F28,6)="Header","",INDEX('Pricing (Drugs) SS'!$F:$F,MATCH(F28,'Pricing (Drugs) SS'!$A:$A,0)))</f>
        <v>100 TABLETS</v>
      </c>
      <c r="E28" s="51" t="str">
        <f>IF(LEFT(F28,6)="Header","",INDEX('Pricing (Drugs) SS'!$D:$D,MATCH(F28,'Pricing (Drugs) SS'!$A:$A,0)))</f>
        <v>0536-1054-29</v>
      </c>
      <c r="F28" s="119">
        <v>1013230</v>
      </c>
      <c r="G28" s="214" t="str">
        <f>IF(LEFT(F28,6)="Header","",INDEX('Standard Cart Pricing Formulas'!$N:$N,MATCH(F28,'Standard Cart Pricing Formulas'!$F:$F,0)))</f>
        <v/>
      </c>
      <c r="H28" s="269"/>
      <c r="I28" s="270"/>
      <c r="L28" s="16" t="str">
        <f>IF(O28="Header","",INDEX('Standard Cart Pricing Formulas'!$N:$N,MATCH(F28,'Standard Cart Pricing Formulas'!$F:$F,0)))</f>
        <v/>
      </c>
      <c r="M28" s="16" t="str">
        <f>IF(LEFT(F28,6)="Header","",INDEX('Standard Cart Pricing Formulas'!$M:$M,MATCH(F28,'Standard Cart Pricing Formulas'!$F:$F,0)))</f>
        <v/>
      </c>
      <c r="N28" s="262" cm="1">
        <f t="array" aca="1" ref="N28" ca="1">CELL("protect",A28)</f>
        <v>0</v>
      </c>
      <c r="O28" s="262" t="str">
        <f t="shared" si="0"/>
        <v>101323</v>
      </c>
      <c r="P28" s="262" t="str">
        <f t="shared" ca="1" si="1"/>
        <v>Good</v>
      </c>
      <c r="Q28" s="262" t="str">
        <f>IF(O28="header","",INDEX('Standard Cart Pricing Formulas'!$O:$O,MATCH(F28,'Standard Cart Pricing Formulas'!$F:$F,0)))</f>
        <v/>
      </c>
    </row>
    <row r="29" spans="1:17" s="264" customFormat="1" ht="15" customHeight="1" x14ac:dyDescent="0.25">
      <c r="A29" s="118"/>
      <c r="B29" s="49" t="str">
        <f>INDEX('Pricing (Drugs) SS'!$B:$B,MATCH(F29,'Pricing (Drugs) SS'!$A:$A,0))</f>
        <v>ATROPINE</v>
      </c>
      <c r="C29" s="50" t="str">
        <f>IF(LEFT(F29,6)="Header","",INDEX('Pricing (Drugs) SS'!$E:$E,MATCH(F29,'Pricing (Drugs) SS'!$A:$A,0)))</f>
        <v/>
      </c>
      <c r="D29" s="49" t="str">
        <f>IF(LEFT(F29,6)="Header","",INDEX('Pricing (Drugs) SS'!$F:$F,MATCH(F29,'Pricing (Drugs) SS'!$A:$A,0)))</f>
        <v/>
      </c>
      <c r="E29" s="51" t="str">
        <f>IF(LEFT(F29,6)="Header","",INDEX('Pricing (Drugs) SS'!$D:$D,MATCH(F29,'Pricing (Drugs) SS'!$A:$A,0)))</f>
        <v/>
      </c>
      <c r="F29" s="119" t="s">
        <v>1543</v>
      </c>
      <c r="G29" s="214" t="str">
        <f>IF(LEFT(F29,6)="Header","",INDEX('Standard Cart Pricing Formulas'!$N:$N,MATCH(F29,'Standard Cart Pricing Formulas'!$F:$F,0)))</f>
        <v/>
      </c>
      <c r="H29" s="51"/>
      <c r="I29" s="272"/>
      <c r="L29" s="16" t="str">
        <f>IF(O29="Header","",INDEX('Standard Cart Pricing Formulas'!$N:$N,MATCH(F29,'Standard Cart Pricing Formulas'!$F:$F,0)))</f>
        <v/>
      </c>
      <c r="M29" s="16" t="str">
        <f>IF(LEFT(F29,6)="Header","",INDEX('Standard Cart Pricing Formulas'!$M:$M,MATCH(F29,'Standard Cart Pricing Formulas'!$F:$F,0)))</f>
        <v/>
      </c>
      <c r="N29" s="262" cm="1">
        <f t="array" aca="1" ref="N29" ca="1">CELL("protect",A29)</f>
        <v>1</v>
      </c>
      <c r="O29" s="262" t="str">
        <f t="shared" si="0"/>
        <v>HEADER</v>
      </c>
      <c r="P29" s="262" t="str">
        <f t="shared" ca="1" si="1"/>
        <v>Good</v>
      </c>
      <c r="Q29" s="262" t="str">
        <f>IF(O29="header","",INDEX('Standard Cart Pricing Formulas'!$O:$O,MATCH(F29,'Standard Cart Pricing Formulas'!$F:$F,0)))</f>
        <v/>
      </c>
    </row>
    <row r="30" spans="1:17" ht="15" customHeight="1" x14ac:dyDescent="0.25">
      <c r="A30" s="48"/>
      <c r="B30" s="49" t="str">
        <f>INDEX('Pricing (Drugs) SS'!$B:$B,MATCH(F30,'Pricing (Drugs) SS'!$A:$A,0))</f>
        <v>ATROPINE SULFATE INJECTION, USP 0.4mg/mL 1mL VIAL</v>
      </c>
      <c r="C30" s="50" t="str">
        <f>IF(LEFT(F30,6)="Header","",INDEX('Pricing (Drugs) SS'!$E:$E,MATCH(F30,'Pricing (Drugs) SS'!$A:$A,0)))</f>
        <v>0.4mg/mL</v>
      </c>
      <c r="D30" s="49" t="str">
        <f>IF(LEFT(F30,6)="Header","",INDEX('Pricing (Drugs) SS'!$F:$F,MATCH(F30,'Pricing (Drugs) SS'!$A:$A,0)))</f>
        <v>1mL</v>
      </c>
      <c r="E30" s="51" t="str">
        <f>IF(LEFT(F30,6)="Header","",INDEX('Pricing (Drugs) SS'!$D:$D,MATCH(F30,'Pricing (Drugs) SS'!$A:$A,0)))</f>
        <v>0517-1004-25</v>
      </c>
      <c r="F30" s="119">
        <v>1019410</v>
      </c>
      <c r="G30" s="214" t="str">
        <f>IF(LEFT(F30,6)="Header","",INDEX('Standard Cart Pricing Formulas'!$N:$N,MATCH(F30,'Standard Cart Pricing Formulas'!$F:$F,0)))</f>
        <v/>
      </c>
      <c r="H30" s="269"/>
      <c r="I30" s="270"/>
      <c r="L30" s="16" t="str">
        <f>IF(O30="Header","",INDEX('Standard Cart Pricing Formulas'!$N:$N,MATCH(F30,'Standard Cart Pricing Formulas'!$F:$F,0)))</f>
        <v/>
      </c>
      <c r="M30" s="16" t="str">
        <f>IF(LEFT(F30,6)="Header","",INDEX('Standard Cart Pricing Formulas'!$M:$M,MATCH(F30,'Standard Cart Pricing Formulas'!$F:$F,0)))</f>
        <v/>
      </c>
      <c r="N30" s="262" cm="1">
        <f t="array" aca="1" ref="N30" ca="1">CELL("protect",A30)</f>
        <v>0</v>
      </c>
      <c r="O30" s="262" t="str">
        <f t="shared" si="0"/>
        <v>101941</v>
      </c>
      <c r="P30" s="262" t="str">
        <f t="shared" ca="1" si="1"/>
        <v>Good</v>
      </c>
      <c r="Q30" s="262" t="str">
        <f>IF(O30="header","",INDEX('Standard Cart Pricing Formulas'!$O:$O,MATCH(F30,'Standard Cart Pricing Formulas'!$F:$F,0)))</f>
        <v/>
      </c>
    </row>
    <row r="31" spans="1:17" ht="15" customHeight="1" x14ac:dyDescent="0.25">
      <c r="A31" s="48"/>
      <c r="B31" s="49" t="str">
        <f>INDEX('Pricing (Drugs) SS'!$B:$B,MATCH(F31,'Pricing (Drugs) SS'!$A:$A,0))</f>
        <v>ATROPINE SULFATE INJECTION, USP 1mg/mL 1mL VIAL</v>
      </c>
      <c r="C31" s="50" t="str">
        <f>IF(LEFT(F31,6)="Header","",INDEX('Pricing (Drugs) SS'!$E:$E,MATCH(F31,'Pricing (Drugs) SS'!$A:$A,0)))</f>
        <v>1mg/mL</v>
      </c>
      <c r="D31" s="49" t="str">
        <f>IF(LEFT(F31,6)="Header","",INDEX('Pricing (Drugs) SS'!$F:$F,MATCH(F31,'Pricing (Drugs) SS'!$A:$A,0)))</f>
        <v>1mL</v>
      </c>
      <c r="E31" s="51" t="str">
        <f>IF(LEFT(F31,6)="Header","",INDEX('Pricing (Drugs) SS'!$D:$D,MATCH(F31,'Pricing (Drugs) SS'!$A:$A,0)))</f>
        <v>0517-1001-25</v>
      </c>
      <c r="F31" s="119">
        <v>1019400</v>
      </c>
      <c r="G31" s="214" t="str">
        <f>IF(LEFT(F31,6)="Header","",INDEX('Standard Cart Pricing Formulas'!$N:$N,MATCH(F31,'Standard Cart Pricing Formulas'!$F:$F,0)))</f>
        <v/>
      </c>
      <c r="H31" s="269"/>
      <c r="I31" s="270"/>
      <c r="L31" s="16" t="str">
        <f>IF(O31="Header","",INDEX('Standard Cart Pricing Formulas'!$N:$N,MATCH(F31,'Standard Cart Pricing Formulas'!$F:$F,0)))</f>
        <v/>
      </c>
      <c r="M31" s="16" t="str">
        <f>IF(LEFT(F31,6)="Header","",INDEX('Standard Cart Pricing Formulas'!$M:$M,MATCH(F31,'Standard Cart Pricing Formulas'!$F:$F,0)))</f>
        <v/>
      </c>
      <c r="N31" s="262" cm="1">
        <f t="array" aca="1" ref="N31" ca="1">CELL("protect",A31)</f>
        <v>0</v>
      </c>
      <c r="O31" s="262" t="str">
        <f t="shared" si="0"/>
        <v>101940</v>
      </c>
      <c r="P31" s="262" t="str">
        <f t="shared" ca="1" si="1"/>
        <v>Good</v>
      </c>
      <c r="Q31" s="262" t="str">
        <f>IF(O31="header","",INDEX('Standard Cart Pricing Formulas'!$O:$O,MATCH(F31,'Standard Cart Pricing Formulas'!$F:$F,0)))</f>
        <v/>
      </c>
    </row>
    <row r="32" spans="1:17" ht="15" customHeight="1" x14ac:dyDescent="0.25">
      <c r="A32" s="48"/>
      <c r="B32" s="49" t="str">
        <f>INDEX('Pricing (Drugs) SS'!$B:$B,MATCH(F32,'Pricing (Drugs) SS'!$A:$A,0))</f>
        <v>ATROPINE SULFATE INJECTION, USP 8mg/20mL (0.4mg/mL) 20mL VIAL</v>
      </c>
      <c r="C32" s="50" t="str">
        <f>IF(LEFT(F32,6)="Header","",INDEX('Pricing (Drugs) SS'!$E:$E,MATCH(F32,'Pricing (Drugs) SS'!$A:$A,0)))</f>
        <v>0.4 mg/mL</v>
      </c>
      <c r="D32" s="49" t="str">
        <f>IF(LEFT(F32,6)="Header","",INDEX('Pricing (Drugs) SS'!$F:$F,MATCH(F32,'Pricing (Drugs) SS'!$A:$A,0)))</f>
        <v>20mL</v>
      </c>
      <c r="E32" s="51" t="str">
        <f>IF(LEFT(F32,6)="Header","",INDEX('Pricing (Drugs) SS'!$D:$D,MATCH(F32,'Pricing (Drugs) SS'!$A:$A,0)))</f>
        <v>0641-6251-10</v>
      </c>
      <c r="F32" s="119">
        <v>1019420</v>
      </c>
      <c r="G32" s="214" t="str">
        <f>IF(LEFT(F32,6)="Header","",INDEX('Standard Cart Pricing Formulas'!$N:$N,MATCH(F32,'Standard Cart Pricing Formulas'!$F:$F,0)))</f>
        <v/>
      </c>
      <c r="H32" s="269"/>
      <c r="I32" s="270"/>
      <c r="L32" s="16" t="str">
        <f>IF(O32="Header","",INDEX('Standard Cart Pricing Formulas'!$N:$N,MATCH(F32,'Standard Cart Pricing Formulas'!$F:$F,0)))</f>
        <v/>
      </c>
      <c r="M32" s="16" t="str">
        <f>IF(LEFT(F32,6)="Header","",INDEX('Standard Cart Pricing Formulas'!$M:$M,MATCH(F32,'Standard Cart Pricing Formulas'!$F:$F,0)))</f>
        <v/>
      </c>
      <c r="N32" s="262" cm="1">
        <f t="array" aca="1" ref="N32" ca="1">CELL("protect",A32)</f>
        <v>0</v>
      </c>
      <c r="O32" s="262" t="str">
        <f t="shared" si="0"/>
        <v>101942</v>
      </c>
      <c r="P32" s="262" t="str">
        <f t="shared" ca="1" si="1"/>
        <v>Good</v>
      </c>
      <c r="Q32" s="262" t="str">
        <f>IF(O32="header","",INDEX('Standard Cart Pricing Formulas'!$O:$O,MATCH(F32,'Standard Cart Pricing Formulas'!$F:$F,0)))</f>
        <v/>
      </c>
    </row>
    <row r="33" spans="1:17" ht="15" customHeight="1" x14ac:dyDescent="0.25">
      <c r="A33" s="48"/>
      <c r="B33" s="49" t="str">
        <f>INDEX('Pricing (Drugs) SS'!$B:$B,MATCH(F33,'Pricing (Drugs) SS'!$A:$A,0))</f>
        <v>ATROPINE SULFATE INJECTION, USP 1mg/10mL (0.1mg/mL) 10mL SYR</v>
      </c>
      <c r="C33" s="50" t="str">
        <f>IF(LEFT(F33,6)="Header","",INDEX('Pricing (Drugs) SS'!$E:$E,MATCH(F33,'Pricing (Drugs) SS'!$A:$A,0)))</f>
        <v>0.1mg/mL</v>
      </c>
      <c r="D33" s="49" t="str">
        <f>IF(LEFT(F33,6)="Header","",INDEX('Pricing (Drugs) SS'!$F:$F,MATCH(F33,'Pricing (Drugs) SS'!$A:$A,0)))</f>
        <v>10mL</v>
      </c>
      <c r="E33" s="51" t="str">
        <f>IF(LEFT(F33,6)="Header","",INDEX('Pricing (Drugs) SS'!$D:$D,MATCH(F33,'Pricing (Drugs) SS'!$A:$A,0)))</f>
        <v>76329-3340-1</v>
      </c>
      <c r="F33" s="119">
        <v>1015780</v>
      </c>
      <c r="G33" s="214" t="str">
        <f>IF(LEFT(F33,6)="Header","",INDEX('Standard Cart Pricing Formulas'!$N:$N,MATCH(F33,'Standard Cart Pricing Formulas'!$F:$F,0)))</f>
        <v/>
      </c>
      <c r="H33" s="269"/>
      <c r="I33" s="270"/>
      <c r="L33" s="16" t="str">
        <f>IF(O33="Header","",INDEX('Standard Cart Pricing Formulas'!$N:$N,MATCH(F33,'Standard Cart Pricing Formulas'!$F:$F,0)))</f>
        <v/>
      </c>
      <c r="M33" s="16" t="str">
        <f>IF(LEFT(F33,6)="Header","",INDEX('Standard Cart Pricing Formulas'!$M:$M,MATCH(F33,'Standard Cart Pricing Formulas'!$F:$F,0)))</f>
        <v/>
      </c>
      <c r="N33" s="262" cm="1">
        <f t="array" aca="1" ref="N33" ca="1">CELL("protect",A33)</f>
        <v>0</v>
      </c>
      <c r="O33" s="262" t="str">
        <f t="shared" si="0"/>
        <v>101578</v>
      </c>
      <c r="P33" s="262" t="str">
        <f t="shared" ca="1" si="1"/>
        <v>Good</v>
      </c>
      <c r="Q33" s="262" t="str">
        <f>IF(O33="header","",INDEX('Standard Cart Pricing Formulas'!$O:$O,MATCH(F33,'Standard Cart Pricing Formulas'!$F:$F,0)))</f>
        <v/>
      </c>
    </row>
    <row r="34" spans="1:17" ht="15" customHeight="1" x14ac:dyDescent="0.25">
      <c r="A34" s="118"/>
      <c r="B34" s="49" t="str">
        <f>INDEX('Pricing (Drugs) SS'!$B:$B,MATCH(F34,'Pricing (Drugs) SS'!$A:$A,0))</f>
        <v>BUPIVACAINE/MARCAINE/SENSORCAINE</v>
      </c>
      <c r="C34" s="50" t="str">
        <f>IF(LEFT(F34,6)="Header","",INDEX('Pricing (Drugs) SS'!$E:$E,MATCH(F34,'Pricing (Drugs) SS'!$A:$A,0)))</f>
        <v/>
      </c>
      <c r="D34" s="49" t="str">
        <f>IF(LEFT(F34,6)="Header","",INDEX('Pricing (Drugs) SS'!$F:$F,MATCH(F34,'Pricing (Drugs) SS'!$A:$A,0)))</f>
        <v/>
      </c>
      <c r="E34" s="51" t="str">
        <f>IF(LEFT(F34,6)="Header","",INDEX('Pricing (Drugs) SS'!$D:$D,MATCH(F34,'Pricing (Drugs) SS'!$A:$A,0)))</f>
        <v/>
      </c>
      <c r="F34" s="119" t="s">
        <v>1544</v>
      </c>
      <c r="G34" s="214" t="str">
        <f>IF(LEFT(F34,6)="Header","",INDEX('Standard Cart Pricing Formulas'!$N:$N,MATCH(F34,'Standard Cart Pricing Formulas'!$F:$F,0)))</f>
        <v/>
      </c>
      <c r="H34" s="51"/>
      <c r="I34" s="272"/>
      <c r="L34" s="16" t="str">
        <f>IF(O34="Header","",INDEX('Standard Cart Pricing Formulas'!$N:$N,MATCH(F34,'Standard Cart Pricing Formulas'!$F:$F,0)))</f>
        <v/>
      </c>
      <c r="M34" s="16" t="str">
        <f>IF(LEFT(F34,6)="Header","",INDEX('Standard Cart Pricing Formulas'!$M:$M,MATCH(F34,'Standard Cart Pricing Formulas'!$F:$F,0)))</f>
        <v/>
      </c>
      <c r="N34" s="262" cm="1">
        <f t="array" aca="1" ref="N34" ca="1">CELL("protect",A34)</f>
        <v>1</v>
      </c>
      <c r="O34" s="262" t="str">
        <f t="shared" si="0"/>
        <v>HEADER</v>
      </c>
      <c r="P34" s="262" t="str">
        <f t="shared" ca="1" si="1"/>
        <v>Good</v>
      </c>
      <c r="Q34" s="262" t="str">
        <f>IF(O34="header","",INDEX('Standard Cart Pricing Formulas'!$O:$O,MATCH(F34,'Standard Cart Pricing Formulas'!$F:$F,0)))</f>
        <v/>
      </c>
    </row>
    <row r="35" spans="1:17" s="265" customFormat="1" ht="15" customHeight="1" x14ac:dyDescent="0.25">
      <c r="A35" s="48"/>
      <c r="B35" s="49" t="str">
        <f>INDEX('Pricing (Drugs) SS'!$B:$B,MATCH(F35,'Pricing (Drugs) SS'!$A:$A,0))</f>
        <v>SENSORCAINE(R) (BUPIVACAINE HCI AND EPINEPHRINE INJECTION, USP) WITH EPINEPHRINE 1:200,000 (AS BITARTRATE) 0.25% 125mg per 50mL (2.5mg per mL) 50mL VIAL</v>
      </c>
      <c r="C35" s="50" t="str">
        <f>IF(LEFT(F35,6)="Header","",INDEX('Pricing (Drugs) SS'!$E:$E,MATCH(F35,'Pricing (Drugs) SS'!$A:$A,0)))</f>
        <v>2.5mg/mL</v>
      </c>
      <c r="D35" s="49" t="str">
        <f>IF(LEFT(F35,6)="Header","",INDEX('Pricing (Drugs) SS'!$F:$F,MATCH(F35,'Pricing (Drugs) SS'!$A:$A,0)))</f>
        <v>50mL</v>
      </c>
      <c r="E35" s="51" t="str">
        <f>IF(LEFT(F35,6)="Header","",INDEX('Pricing (Drugs) SS'!$D:$D,MATCH(F35,'Pricing (Drugs) SS'!$A:$A,0)))</f>
        <v>63323-461-57</v>
      </c>
      <c r="F35" s="119">
        <v>1012080</v>
      </c>
      <c r="G35" s="214" t="str">
        <f>IF(LEFT(F35,6)="Header","",INDEX('Standard Cart Pricing Formulas'!$N:$N,MATCH(F35,'Standard Cart Pricing Formulas'!$F:$F,0)))</f>
        <v/>
      </c>
      <c r="H35" s="269"/>
      <c r="I35" s="270"/>
      <c r="L35" s="16" t="str">
        <f>IF(O35="Header","",INDEX('Standard Cart Pricing Formulas'!$N:$N,MATCH(F35,'Standard Cart Pricing Formulas'!$F:$F,0)))</f>
        <v/>
      </c>
      <c r="M35" s="16" t="str">
        <f>IF(LEFT(F35,6)="Header","",INDEX('Standard Cart Pricing Formulas'!$M:$M,MATCH(F35,'Standard Cart Pricing Formulas'!$F:$F,0)))</f>
        <v/>
      </c>
      <c r="N35" s="262" cm="1">
        <f t="array" aca="1" ref="N35" ca="1">CELL("protect",A35)</f>
        <v>0</v>
      </c>
      <c r="O35" s="262" t="str">
        <f t="shared" si="0"/>
        <v>101208</v>
      </c>
      <c r="P35" s="262" t="str">
        <f t="shared" ca="1" si="1"/>
        <v>Good</v>
      </c>
      <c r="Q35" s="262" t="str">
        <f>IF(O35="header","",INDEX('Standard Cart Pricing Formulas'!$O:$O,MATCH(F35,'Standard Cart Pricing Formulas'!$F:$F,0)))</f>
        <v/>
      </c>
    </row>
    <row r="36" spans="1:17" ht="15" customHeight="1" x14ac:dyDescent="0.25">
      <c r="A36" s="48"/>
      <c r="B36" s="49" t="str">
        <f>INDEX('Pricing (Drugs) SS'!$B:$B,MATCH(F36,'Pricing (Drugs) SS'!$A:$A,0))</f>
        <v>0.5% BUPIVACAINE HYDROCHLORIDE INJECTION, USP (5 mg/mL) 50 mL MDV</v>
      </c>
      <c r="C36" s="50" t="str">
        <f>IF(LEFT(F36,6)="Header","",INDEX('Pricing (Drugs) SS'!$E:$E,MATCH(F36,'Pricing (Drugs) SS'!$A:$A,0)))</f>
        <v>5mg/mL</v>
      </c>
      <c r="D36" s="49" t="str">
        <f>IF(LEFT(F36,6)="Header","",INDEX('Pricing (Drugs) SS'!$F:$F,MATCH(F36,'Pricing (Drugs) SS'!$A:$A,0)))</f>
        <v>50 mL</v>
      </c>
      <c r="E36" s="51" t="str">
        <f>IF(LEFT(F36,6)="Header","",INDEX('Pricing (Drugs) SS'!$D:$D,MATCH(F36,'Pricing (Drugs) SS'!$A:$A,0)))</f>
        <v>0409-1163-01</v>
      </c>
      <c r="F36" s="119">
        <v>1011870</v>
      </c>
      <c r="G36" s="214" t="str">
        <f>IF(LEFT(F36,6)="Header","",INDEX('Standard Cart Pricing Formulas'!$N:$N,MATCH(F36,'Standard Cart Pricing Formulas'!$F:$F,0)))</f>
        <v/>
      </c>
      <c r="H36" s="269"/>
      <c r="I36" s="270"/>
      <c r="L36" s="16" t="str">
        <f>IF(O36="Header","",INDEX('Standard Cart Pricing Formulas'!$N:$N,MATCH(F36,'Standard Cart Pricing Formulas'!$F:$F,0)))</f>
        <v/>
      </c>
      <c r="M36" s="16" t="str">
        <f>IF(LEFT(F36,6)="Header","",INDEX('Standard Cart Pricing Formulas'!$M:$M,MATCH(F36,'Standard Cart Pricing Formulas'!$F:$F,0)))</f>
        <v/>
      </c>
      <c r="N36" s="262" cm="1">
        <f t="array" aca="1" ref="N36" ca="1">CELL("protect",A36)</f>
        <v>0</v>
      </c>
      <c r="O36" s="262" t="str">
        <f t="shared" si="0"/>
        <v>101187</v>
      </c>
      <c r="P36" s="262" t="str">
        <f t="shared" ca="1" si="1"/>
        <v>Good</v>
      </c>
      <c r="Q36" s="262" t="str">
        <f>IF(O36="header","",INDEX('Standard Cart Pricing Formulas'!$O:$O,MATCH(F36,'Standard Cart Pricing Formulas'!$F:$F,0)))</f>
        <v/>
      </c>
    </row>
    <row r="37" spans="1:17" s="264" customFormat="1" ht="15" customHeight="1" x14ac:dyDescent="0.25">
      <c r="A37" s="48"/>
      <c r="B37" s="49" t="str">
        <f>INDEX('Pricing (Drugs) SS'!$B:$B,MATCH(F37,'Pricing (Drugs) SS'!$A:$A,0))</f>
        <v>SENSORCAINE(R) (BUPIVACAINE HCI AND EPINEPHRINE INJECTION, USP) WITH EPINEPHRINE 1:200,000 (AS BITARTRATE) 0.5% 250mg per 50mL (5mg per mL) 50mL VIAL</v>
      </c>
      <c r="C37" s="50" t="str">
        <f>IF(LEFT(F37,6)="Header","",INDEX('Pricing (Drugs) SS'!$E:$E,MATCH(F37,'Pricing (Drugs) SS'!$A:$A,0)))</f>
        <v>5mg/mL</v>
      </c>
      <c r="D37" s="49" t="str">
        <f>IF(LEFT(F37,6)="Header","",INDEX('Pricing (Drugs) SS'!$F:$F,MATCH(F37,'Pricing (Drugs) SS'!$A:$A,0)))</f>
        <v>50mL</v>
      </c>
      <c r="E37" s="51" t="str">
        <f>IF(LEFT(F37,6)="Header","",INDEX('Pricing (Drugs) SS'!$D:$D,MATCH(F37,'Pricing (Drugs) SS'!$A:$A,0)))</f>
        <v>63323-463-57</v>
      </c>
      <c r="F37" s="119">
        <v>1012090</v>
      </c>
      <c r="G37" s="214" t="str">
        <f>IF(LEFT(F37,6)="Header","",INDEX('Standard Cart Pricing Formulas'!$N:$N,MATCH(F37,'Standard Cart Pricing Formulas'!$F:$F,0)))</f>
        <v/>
      </c>
      <c r="H37" s="269"/>
      <c r="I37" s="270"/>
      <c r="L37" s="16" t="str">
        <f>IF(O37="Header","",INDEX('Standard Cart Pricing Formulas'!$N:$N,MATCH(F37,'Standard Cart Pricing Formulas'!$F:$F,0)))</f>
        <v/>
      </c>
      <c r="M37" s="16" t="str">
        <f>IF(LEFT(F37,6)="Header","",INDEX('Standard Cart Pricing Formulas'!$M:$M,MATCH(F37,'Standard Cart Pricing Formulas'!$F:$F,0)))</f>
        <v/>
      </c>
      <c r="N37" s="262" cm="1">
        <f t="array" aca="1" ref="N37" ca="1">CELL("protect",A37)</f>
        <v>0</v>
      </c>
      <c r="O37" s="262" t="str">
        <f t="shared" si="0"/>
        <v>101209</v>
      </c>
      <c r="P37" s="262" t="str">
        <f t="shared" ca="1" si="1"/>
        <v>Good</v>
      </c>
      <c r="Q37" s="262" t="str">
        <f>IF(O37="header","",INDEX('Standard Cart Pricing Formulas'!$O:$O,MATCH(F37,'Standard Cart Pricing Formulas'!$F:$F,0)))</f>
        <v/>
      </c>
    </row>
    <row r="38" spans="1:17" ht="15" customHeight="1" x14ac:dyDescent="0.25">
      <c r="A38" s="118"/>
      <c r="B38" s="49" t="str">
        <f>INDEX('Pricing (Drugs) SS'!$B:$B,MATCH(F38,'Pricing (Drugs) SS'!$A:$A,0))</f>
        <v>CALCIUM CHLORIDE</v>
      </c>
      <c r="C38" s="50" t="str">
        <f>IF(LEFT(F38,6)="Header","",INDEX('Pricing (Drugs) SS'!$E:$E,MATCH(F38,'Pricing (Drugs) SS'!$A:$A,0)))</f>
        <v/>
      </c>
      <c r="D38" s="49" t="str">
        <f>IF(LEFT(F38,6)="Header","",INDEX('Pricing (Drugs) SS'!$F:$F,MATCH(F38,'Pricing (Drugs) SS'!$A:$A,0)))</f>
        <v/>
      </c>
      <c r="E38" s="51" t="str">
        <f>IF(LEFT(F38,6)="Header","",INDEX('Pricing (Drugs) SS'!$D:$D,MATCH(F38,'Pricing (Drugs) SS'!$A:$A,0)))</f>
        <v/>
      </c>
      <c r="F38" s="119" t="s">
        <v>1545</v>
      </c>
      <c r="G38" s="214" t="str">
        <f>IF(LEFT(F38,6)="Header","",INDEX('Standard Cart Pricing Formulas'!$N:$N,MATCH(F38,'Standard Cart Pricing Formulas'!$F:$F,0)))</f>
        <v/>
      </c>
      <c r="H38" s="51"/>
      <c r="I38" s="272"/>
      <c r="L38" s="16" t="str">
        <f>IF(O38="Header","",INDEX('Standard Cart Pricing Formulas'!$N:$N,MATCH(F38,'Standard Cart Pricing Formulas'!$F:$F,0)))</f>
        <v/>
      </c>
      <c r="M38" s="16" t="str">
        <f>IF(LEFT(F38,6)="Header","",INDEX('Standard Cart Pricing Formulas'!$M:$M,MATCH(F38,'Standard Cart Pricing Formulas'!$F:$F,0)))</f>
        <v/>
      </c>
      <c r="N38" s="262" cm="1">
        <f t="array" aca="1" ref="N38" ca="1">CELL("protect",A38)</f>
        <v>1</v>
      </c>
      <c r="O38" s="262" t="str">
        <f t="shared" si="0"/>
        <v>HEADER</v>
      </c>
      <c r="P38" s="262" t="str">
        <f t="shared" ca="1" si="1"/>
        <v>Good</v>
      </c>
      <c r="Q38" s="262" t="str">
        <f>IF(O38="header","",INDEX('Standard Cart Pricing Formulas'!$O:$O,MATCH(F38,'Standard Cart Pricing Formulas'!$F:$F,0)))</f>
        <v/>
      </c>
    </row>
    <row r="39" spans="1:17" s="265" customFormat="1" ht="15" customHeight="1" x14ac:dyDescent="0.25">
      <c r="A39" s="48"/>
      <c r="B39" s="49" t="str">
        <f>INDEX('Pricing (Drugs) SS'!$B:$B,MATCH(F39,'Pricing (Drugs) SS'!$A:$A,0))</f>
        <v>10% CALCIUM CHLORIDE INJECTION, USP 1 g/10 mL (100 mg/ mL) (1.4 mEq/mL) LUER-JET™ SYR</v>
      </c>
      <c r="C39" s="50" t="str">
        <f>IF(LEFT(F39,6)="Header","",INDEX('Pricing (Drugs) SS'!$E:$E,MATCH(F39,'Pricing (Drugs) SS'!$A:$A,0)))</f>
        <v>100 mg/1 mL</v>
      </c>
      <c r="D39" s="49" t="str">
        <f>IF(LEFT(F39,6)="Header","",INDEX('Pricing (Drugs) SS'!$F:$F,MATCH(F39,'Pricing (Drugs) SS'!$A:$A,0)))</f>
        <v>10 mL</v>
      </c>
      <c r="E39" s="51" t="str">
        <f>IF(LEFT(F39,6)="Header","",INDEX('Pricing (Drugs) SS'!$D:$D,MATCH(F39,'Pricing (Drugs) SS'!$A:$A,0)))</f>
        <v>76329-3304-1</v>
      </c>
      <c r="F39" s="119">
        <v>1012300</v>
      </c>
      <c r="G39" s="214" t="str">
        <f>IF(LEFT(F39,6)="Header","",INDEX('Standard Cart Pricing Formulas'!$N:$N,MATCH(F39,'Standard Cart Pricing Formulas'!$F:$F,0)))</f>
        <v/>
      </c>
      <c r="H39" s="269"/>
      <c r="I39" s="270"/>
      <c r="L39" s="16" t="str">
        <f>IF(O39="Header","",INDEX('Standard Cart Pricing Formulas'!$N:$N,MATCH(F39,'Standard Cart Pricing Formulas'!$F:$F,0)))</f>
        <v/>
      </c>
      <c r="M39" s="16" t="str">
        <f>IF(LEFT(F39,6)="Header","",INDEX('Standard Cart Pricing Formulas'!$M:$M,MATCH(F39,'Standard Cart Pricing Formulas'!$F:$F,0)))</f>
        <v/>
      </c>
      <c r="N39" s="262" cm="1">
        <f t="array" aca="1" ref="N39" ca="1">CELL("protect",A39)</f>
        <v>0</v>
      </c>
      <c r="O39" s="262" t="str">
        <f t="shared" si="0"/>
        <v>101230</v>
      </c>
      <c r="P39" s="262" t="str">
        <f t="shared" ca="1" si="1"/>
        <v>Good</v>
      </c>
      <c r="Q39" s="262" t="str">
        <f>IF(O39="header","",INDEX('Standard Cart Pricing Formulas'!$O:$O,MATCH(F39,'Standard Cart Pricing Formulas'!$F:$F,0)))</f>
        <v/>
      </c>
    </row>
    <row r="40" spans="1:17" ht="15" customHeight="1" x14ac:dyDescent="0.25">
      <c r="A40" s="48"/>
      <c r="B40" s="49" t="str">
        <f>INDEX('Pricing (Drugs) SS'!$B:$B,MATCH(F40,'Pricing (Drugs) SS'!$A:$A,0))</f>
        <v>10% CALCIUM CHLORIDE INJECTION, USP 1000mg/10mL (100mg/mL) SYR</v>
      </c>
      <c r="C40" s="50" t="str">
        <f>IF(LEFT(F40,6)="Header","",INDEX('Pricing (Drugs) SS'!$E:$E,MATCH(F40,'Pricing (Drugs) SS'!$A:$A,0)))</f>
        <v>100mg/mL</v>
      </c>
      <c r="D40" s="49" t="str">
        <f>IF(LEFT(F40,6)="Header","",INDEX('Pricing (Drugs) SS'!$F:$F,MATCH(F40,'Pricing (Drugs) SS'!$A:$A,0)))</f>
        <v>10mL</v>
      </c>
      <c r="E40" s="51" t="str">
        <f>IF(LEFT(F40,6)="Header","",INDEX('Pricing (Drugs) SS'!$D:$D,MATCH(F40,'Pricing (Drugs) SS'!$A:$A,0)))</f>
        <v>0409-1631-10</v>
      </c>
      <c r="F40" s="119">
        <v>1012720</v>
      </c>
      <c r="G40" s="214" t="str">
        <f>IF(LEFT(F40,6)="Header","",INDEX('Standard Cart Pricing Formulas'!$N:$N,MATCH(F40,'Standard Cart Pricing Formulas'!$F:$F,0)))</f>
        <v/>
      </c>
      <c r="H40" s="269"/>
      <c r="I40" s="270"/>
      <c r="L40" s="16" t="str">
        <f>IF(O40="Header","",INDEX('Standard Cart Pricing Formulas'!$N:$N,MATCH(F40,'Standard Cart Pricing Formulas'!$F:$F,0)))</f>
        <v/>
      </c>
      <c r="M40" s="16" t="str">
        <f>IF(LEFT(F40,6)="Header","",INDEX('Standard Cart Pricing Formulas'!$M:$M,MATCH(F40,'Standard Cart Pricing Formulas'!$F:$F,0)))</f>
        <v/>
      </c>
      <c r="N40" s="262" cm="1">
        <f t="array" aca="1" ref="N40" ca="1">CELL("protect",A40)</f>
        <v>0</v>
      </c>
      <c r="O40" s="262" t="str">
        <f t="shared" si="0"/>
        <v>101272</v>
      </c>
      <c r="P40" s="262" t="str">
        <f t="shared" ca="1" si="1"/>
        <v>Good</v>
      </c>
      <c r="Q40" s="262" t="str">
        <f>IF(O40="header","",INDEX('Standard Cart Pricing Formulas'!$O:$O,MATCH(F40,'Standard Cart Pricing Formulas'!$F:$F,0)))</f>
        <v/>
      </c>
    </row>
    <row r="41" spans="1:17" ht="15" customHeight="1" x14ac:dyDescent="0.25">
      <c r="A41" s="118"/>
      <c r="B41" s="49" t="str">
        <f>INDEX('Pricing (Drugs) SS'!$B:$B,MATCH(F41,'Pricing (Drugs) SS'!$A:$A,0))</f>
        <v>CALCIUM GLUCONATE</v>
      </c>
      <c r="C41" s="50" t="str">
        <f>IF(LEFT(F41,6)="Header","",INDEX('Pricing (Drugs) SS'!$E:$E,MATCH(F41,'Pricing (Drugs) SS'!$A:$A,0)))</f>
        <v/>
      </c>
      <c r="D41" s="49" t="str">
        <f>IF(LEFT(F41,6)="Header","",INDEX('Pricing (Drugs) SS'!$F:$F,MATCH(F41,'Pricing (Drugs) SS'!$A:$A,0)))</f>
        <v/>
      </c>
      <c r="E41" s="51" t="str">
        <f>IF(LEFT(F41,6)="Header","",INDEX('Pricing (Drugs) SS'!$D:$D,MATCH(F41,'Pricing (Drugs) SS'!$A:$A,0)))</f>
        <v/>
      </c>
      <c r="F41" s="119" t="s">
        <v>1546</v>
      </c>
      <c r="G41" s="214" t="str">
        <f>IF(LEFT(F41,6)="Header","",INDEX('Standard Cart Pricing Formulas'!$N:$N,MATCH(F41,'Standard Cart Pricing Formulas'!$F:$F,0)))</f>
        <v/>
      </c>
      <c r="H41" s="51"/>
      <c r="I41" s="272"/>
      <c r="L41" s="16" t="str">
        <f>IF(O41="Header","",INDEX('Standard Cart Pricing Formulas'!$N:$N,MATCH(F41,'Standard Cart Pricing Formulas'!$F:$F,0)))</f>
        <v/>
      </c>
      <c r="M41" s="16" t="str">
        <f>IF(LEFT(F41,6)="Header","",INDEX('Standard Cart Pricing Formulas'!$M:$M,MATCH(F41,'Standard Cart Pricing Formulas'!$F:$F,0)))</f>
        <v/>
      </c>
      <c r="N41" s="262" cm="1">
        <f t="array" aca="1" ref="N41" ca="1">CELL("protect",A41)</f>
        <v>1</v>
      </c>
      <c r="O41" s="262" t="str">
        <f t="shared" si="0"/>
        <v>HEADER</v>
      </c>
      <c r="P41" s="262" t="str">
        <f t="shared" ca="1" si="1"/>
        <v>Good</v>
      </c>
      <c r="Q41" s="262" t="str">
        <f>IF(O41="header","",INDEX('Standard Cart Pricing Formulas'!$O:$O,MATCH(F41,'Standard Cart Pricing Formulas'!$F:$F,0)))</f>
        <v/>
      </c>
    </row>
    <row r="42" spans="1:17" ht="15" customHeight="1" x14ac:dyDescent="0.25">
      <c r="A42" s="48"/>
      <c r="B42" s="49" t="str">
        <f>INDEX('Pricing (Drugs) SS'!$B:$B,MATCH(F42,'Pricing (Drugs) SS'!$A:$A,0))</f>
        <v>CALCIUM GLUCONATE INJECTION, USP 10% 1,000 mg per 10mL  (100mg/mL) 10mL VIAL</v>
      </c>
      <c r="C42" s="50" t="str">
        <f>IF(LEFT(F42,6)="Header","",INDEX('Pricing (Drugs) SS'!$E:$E,MATCH(F42,'Pricing (Drugs) SS'!$A:$A,0)))</f>
        <v>100mg/mL</v>
      </c>
      <c r="D42" s="49" t="str">
        <f>IF(LEFT(F42,6)="Header","",INDEX('Pricing (Drugs) SS'!$F:$F,MATCH(F42,'Pricing (Drugs) SS'!$A:$A,0)))</f>
        <v>10mL</v>
      </c>
      <c r="E42" s="51" t="str">
        <f>IF(LEFT(F42,6)="Header","",INDEX('Pricing (Drugs) SS'!$D:$D,MATCH(F42,'Pricing (Drugs) SS'!$A:$A,0)))</f>
        <v>63323-360-19</v>
      </c>
      <c r="F42" s="119">
        <v>1009700</v>
      </c>
      <c r="G42" s="214" t="str">
        <f>IF(LEFT(F42,6)="Header","",INDEX('Standard Cart Pricing Formulas'!$N:$N,MATCH(F42,'Standard Cart Pricing Formulas'!$F:$F,0)))</f>
        <v/>
      </c>
      <c r="H42" s="269"/>
      <c r="I42" s="270"/>
      <c r="L42" s="16" t="str">
        <f>IF(O42="Header","",INDEX('Standard Cart Pricing Formulas'!$N:$N,MATCH(F42,'Standard Cart Pricing Formulas'!$F:$F,0)))</f>
        <v/>
      </c>
      <c r="M42" s="16" t="str">
        <f>IF(LEFT(F42,6)="Header","",INDEX('Standard Cart Pricing Formulas'!$M:$M,MATCH(F42,'Standard Cart Pricing Formulas'!$F:$F,0)))</f>
        <v/>
      </c>
      <c r="N42" s="262" cm="1">
        <f t="array" aca="1" ref="N42" ca="1">CELL("protect",A42)</f>
        <v>0</v>
      </c>
      <c r="O42" s="262" t="str">
        <f t="shared" si="0"/>
        <v>100970</v>
      </c>
      <c r="P42" s="262" t="str">
        <f t="shared" ca="1" si="1"/>
        <v>Good</v>
      </c>
      <c r="Q42" s="262" t="str">
        <f>IF(O42="header","",INDEX('Standard Cart Pricing Formulas'!$O:$O,MATCH(F42,'Standard Cart Pricing Formulas'!$F:$F,0)))</f>
        <v/>
      </c>
    </row>
    <row r="43" spans="1:17" s="266" customFormat="1" ht="15" customHeight="1" x14ac:dyDescent="0.25">
      <c r="A43" s="118"/>
      <c r="B43" s="49" t="str">
        <f>INDEX('Pricing (Drugs) SS'!$B:$B,MATCH(F43,'Pricing (Drugs) SS'!$A:$A,0))</f>
        <v>CHLORAPREP</v>
      </c>
      <c r="C43" s="50" t="str">
        <f>IF(LEFT(F43,6)="Header","",INDEX('Pricing (Drugs) SS'!$E:$E,MATCH(F43,'Pricing (Drugs) SS'!$A:$A,0)))</f>
        <v/>
      </c>
      <c r="D43" s="49" t="str">
        <f>IF(LEFT(F43,6)="Header","",INDEX('Pricing (Drugs) SS'!$F:$F,MATCH(F43,'Pricing (Drugs) SS'!$A:$A,0)))</f>
        <v/>
      </c>
      <c r="E43" s="51" t="str">
        <f>IF(LEFT(F43,6)="Header","",INDEX('Pricing (Drugs) SS'!$D:$D,MATCH(F43,'Pricing (Drugs) SS'!$A:$A,0)))</f>
        <v/>
      </c>
      <c r="F43" s="119" t="s">
        <v>1547</v>
      </c>
      <c r="G43" s="214" t="str">
        <f>IF(LEFT(F43,6)="Header","",INDEX('Standard Cart Pricing Formulas'!$N:$N,MATCH(F43,'Standard Cart Pricing Formulas'!$F:$F,0)))</f>
        <v/>
      </c>
      <c r="H43" s="51"/>
      <c r="I43" s="272"/>
      <c r="L43" s="16" t="str">
        <f>IF(O43="Header","",INDEX('Standard Cart Pricing Formulas'!$N:$N,MATCH(F43,'Standard Cart Pricing Formulas'!$F:$F,0)))</f>
        <v/>
      </c>
      <c r="M43" s="16" t="str">
        <f>IF(LEFT(F43,6)="Header","",INDEX('Standard Cart Pricing Formulas'!$M:$M,MATCH(F43,'Standard Cart Pricing Formulas'!$F:$F,0)))</f>
        <v/>
      </c>
      <c r="N43" s="262" cm="1">
        <f t="array" aca="1" ref="N43" ca="1">CELL("protect",A43)</f>
        <v>1</v>
      </c>
      <c r="O43" s="262" t="str">
        <f t="shared" si="0"/>
        <v>HEADER</v>
      </c>
      <c r="P43" s="262" t="str">
        <f t="shared" ca="1" si="1"/>
        <v>Good</v>
      </c>
      <c r="Q43" s="262" t="str">
        <f>IF(O43="header","",INDEX('Standard Cart Pricing Formulas'!$O:$O,MATCH(F43,'Standard Cart Pricing Formulas'!$F:$F,0)))</f>
        <v/>
      </c>
    </row>
    <row r="44" spans="1:17" s="266" customFormat="1" ht="15" customHeight="1" x14ac:dyDescent="0.25">
      <c r="A44" s="48"/>
      <c r="B44" s="49" t="str">
        <f>INDEX('Pricing (Drugs) SS'!$B:$B,MATCH(F44,'Pricing (Drugs) SS'!$A:$A,0))</f>
        <v>CHLORAPREP® SINGLE SWABSTICK 1.75mL</v>
      </c>
      <c r="C44" s="50" t="str">
        <f>IF(LEFT(F44,6)="Header","",INDEX('Pricing (Drugs) SS'!$E:$E,MATCH(F44,'Pricing (Drugs) SS'!$A:$A,0)))</f>
        <v>1.75mL</v>
      </c>
      <c r="D44" s="49" t="str">
        <f>IF(LEFT(F44,6)="Header","",INDEX('Pricing (Drugs) SS'!$F:$F,MATCH(F44,'Pricing (Drugs) SS'!$A:$A,0)))</f>
        <v>Swabstick</v>
      </c>
      <c r="E44" s="51" t="str">
        <f>IF(LEFT(F44,6)="Header","",INDEX('Pricing (Drugs) SS'!$D:$D,MATCH(F44,'Pricing (Drugs) SS'!$A:$A,0)))</f>
        <v>54365-401-28</v>
      </c>
      <c r="F44" s="119">
        <v>1024650</v>
      </c>
      <c r="G44" s="214" t="str">
        <f>IF(LEFT(F44,6)="Header","",INDEX('Standard Cart Pricing Formulas'!$N:$N,MATCH(F44,'Standard Cart Pricing Formulas'!$F:$F,0)))</f>
        <v/>
      </c>
      <c r="H44" s="269"/>
      <c r="I44" s="270"/>
      <c r="L44" s="16" t="str">
        <f>IF(O44="Header","",INDEX('Standard Cart Pricing Formulas'!$N:$N,MATCH(F44,'Standard Cart Pricing Formulas'!$F:$F,0)))</f>
        <v/>
      </c>
      <c r="M44" s="16" t="str">
        <f>IF(LEFT(F44,6)="Header","",INDEX('Standard Cart Pricing Formulas'!$M:$M,MATCH(F44,'Standard Cart Pricing Formulas'!$F:$F,0)))</f>
        <v/>
      </c>
      <c r="N44" s="262" cm="1">
        <f t="array" aca="1" ref="N44" ca="1">CELL("protect",A44)</f>
        <v>0</v>
      </c>
      <c r="O44" s="262" t="str">
        <f t="shared" ref="O44:O75" si="2">LEFT(F44,6)</f>
        <v>102465</v>
      </c>
      <c r="P44" s="262" t="str">
        <f t="shared" ca="1" si="1"/>
        <v>Good</v>
      </c>
      <c r="Q44" s="262" t="str">
        <f>IF(O44="header","",INDEX('Standard Cart Pricing Formulas'!$O:$O,MATCH(F44,'Standard Cart Pricing Formulas'!$F:$F,0)))</f>
        <v/>
      </c>
    </row>
    <row r="45" spans="1:17" ht="15" customHeight="1" x14ac:dyDescent="0.25">
      <c r="A45" s="118"/>
      <c r="B45" s="49" t="str">
        <f>INDEX('Pricing (Drugs) SS'!$B:$B,MATCH(F45,'Pricing (Drugs) SS'!$A:$A,0))</f>
        <v>DEXAMETHASONE</v>
      </c>
      <c r="C45" s="50" t="str">
        <f>IF(LEFT(F45,6)="Header","",INDEX('Pricing (Drugs) SS'!$E:$E,MATCH(F45,'Pricing (Drugs) SS'!$A:$A,0)))</f>
        <v/>
      </c>
      <c r="D45" s="49" t="str">
        <f>IF(LEFT(F45,6)="Header","",INDEX('Pricing (Drugs) SS'!$F:$F,MATCH(F45,'Pricing (Drugs) SS'!$A:$A,0)))</f>
        <v/>
      </c>
      <c r="E45" s="51" t="str">
        <f>IF(LEFT(F45,6)="Header","",INDEX('Pricing (Drugs) SS'!$D:$D,MATCH(F45,'Pricing (Drugs) SS'!$A:$A,0)))</f>
        <v/>
      </c>
      <c r="F45" s="119" t="s">
        <v>1548</v>
      </c>
      <c r="G45" s="214" t="str">
        <f>IF(LEFT(F45,6)="Header","",INDEX('Standard Cart Pricing Formulas'!$N:$N,MATCH(F45,'Standard Cart Pricing Formulas'!$F:$F,0)))</f>
        <v/>
      </c>
      <c r="H45" s="51"/>
      <c r="I45" s="272"/>
      <c r="L45" s="16" t="str">
        <f>IF(O45="Header","",INDEX('Standard Cart Pricing Formulas'!$N:$N,MATCH(F45,'Standard Cart Pricing Formulas'!$F:$F,0)))</f>
        <v/>
      </c>
      <c r="M45" s="16" t="str">
        <f>IF(LEFT(F45,6)="Header","",INDEX('Standard Cart Pricing Formulas'!$M:$M,MATCH(F45,'Standard Cart Pricing Formulas'!$F:$F,0)))</f>
        <v/>
      </c>
      <c r="N45" s="262" cm="1">
        <f t="array" aca="1" ref="N45" ca="1">CELL("protect",A45)</f>
        <v>1</v>
      </c>
      <c r="O45" s="262" t="str">
        <f t="shared" si="2"/>
        <v>HEADER</v>
      </c>
      <c r="P45" s="262" t="str">
        <f t="shared" ca="1" si="1"/>
        <v>Good</v>
      </c>
      <c r="Q45" s="262" t="str">
        <f>IF(O45="header","",INDEX('Standard Cart Pricing Formulas'!$O:$O,MATCH(F45,'Standard Cart Pricing Formulas'!$F:$F,0)))</f>
        <v/>
      </c>
    </row>
    <row r="46" spans="1:17" ht="15" customHeight="1" x14ac:dyDescent="0.25">
      <c r="A46" s="48"/>
      <c r="B46" s="49" t="str">
        <f>INDEX('Pricing (Drugs) SS'!$B:$B,MATCH(F46,'Pricing (Drugs) SS'!$A:$A,0))</f>
        <v>DEXAMETHASONE SODIUM PHOSPHATE INJECTION, USP 10mg/mL 1mL VIAL</v>
      </c>
      <c r="C46" s="50" t="str">
        <f>IF(LEFT(F46,6)="Header","",INDEX('Pricing (Drugs) SS'!$E:$E,MATCH(F46,'Pricing (Drugs) SS'!$A:$A,0)))</f>
        <v>10mg/mL</v>
      </c>
      <c r="D46" s="49" t="str">
        <f>IF(LEFT(F46,6)="Header","",INDEX('Pricing (Drugs) SS'!$F:$F,MATCH(F46,'Pricing (Drugs) SS'!$A:$A,0)))</f>
        <v>1 mL</v>
      </c>
      <c r="E46" s="51" t="str">
        <f>IF(LEFT(F46,6)="Header","",INDEX('Pricing (Drugs) SS'!$D:$D,MATCH(F46,'Pricing (Drugs) SS'!$A:$A,0)))</f>
        <v>0641-0367-25</v>
      </c>
      <c r="F46" s="119">
        <v>1010160</v>
      </c>
      <c r="G46" s="214" t="str">
        <f>IF(LEFT(F46,6)="Header","",INDEX('Standard Cart Pricing Formulas'!$N:$N,MATCH(F46,'Standard Cart Pricing Formulas'!$F:$F,0)))</f>
        <v/>
      </c>
      <c r="H46" s="269"/>
      <c r="I46" s="270"/>
      <c r="L46" s="16" t="str">
        <f>IF(O46="Header","",INDEX('Standard Cart Pricing Formulas'!$N:$N,MATCH(F46,'Standard Cart Pricing Formulas'!$F:$F,0)))</f>
        <v/>
      </c>
      <c r="M46" s="16" t="str">
        <f>IF(LEFT(F46,6)="Header","",INDEX('Standard Cart Pricing Formulas'!$M:$M,MATCH(F46,'Standard Cart Pricing Formulas'!$F:$F,0)))</f>
        <v/>
      </c>
      <c r="N46" s="262" cm="1">
        <f t="array" aca="1" ref="N46" ca="1">CELL("protect",A46)</f>
        <v>0</v>
      </c>
      <c r="O46" s="262" t="str">
        <f t="shared" si="2"/>
        <v>101016</v>
      </c>
      <c r="P46" s="262" t="str">
        <f t="shared" ca="1" si="1"/>
        <v>Good</v>
      </c>
      <c r="Q46" s="262" t="str">
        <f>IF(O46="header","",INDEX('Standard Cart Pricing Formulas'!$O:$O,MATCH(F46,'Standard Cart Pricing Formulas'!$F:$F,0)))</f>
        <v/>
      </c>
    </row>
    <row r="47" spans="1:17" ht="15" customHeight="1" x14ac:dyDescent="0.25">
      <c r="A47" s="48"/>
      <c r="B47" s="49" t="str">
        <f>INDEX('Pricing (Drugs) SS'!$B:$B,MATCH(F47,'Pricing (Drugs) SS'!$A:$A,0))</f>
        <v>DEXAMETHASONE SODIUM PHOSPHATE INJECTION USP 100mg PER 10mL(10mg/mL*) 10mL VIAL</v>
      </c>
      <c r="C47" s="50" t="str">
        <f>IF(LEFT(F47,6)="Header","",INDEX('Pricing (Drugs) SS'!$E:$E,MATCH(F47,'Pricing (Drugs) SS'!$A:$A,0)))</f>
        <v>10mg/mL</v>
      </c>
      <c r="D47" s="49" t="str">
        <f>IF(LEFT(F47,6)="Header","",INDEX('Pricing (Drugs) SS'!$F:$F,MATCH(F47,'Pricing (Drugs) SS'!$A:$A,0)))</f>
        <v>10mL</v>
      </c>
      <c r="E47" s="51" t="str">
        <f>IF(LEFT(F47,6)="Header","",INDEX('Pricing (Drugs) SS'!$D:$D,MATCH(F47,'Pricing (Drugs) SS'!$A:$A,0)))</f>
        <v>55150-305-10</v>
      </c>
      <c r="F47" s="119">
        <v>1016140</v>
      </c>
      <c r="G47" s="214" t="str">
        <f>IF(LEFT(F47,6)="Header","",INDEX('Standard Cart Pricing Formulas'!$N:$N,MATCH(F47,'Standard Cart Pricing Formulas'!$F:$F,0)))</f>
        <v/>
      </c>
      <c r="H47" s="269"/>
      <c r="I47" s="270"/>
      <c r="L47" s="16" t="str">
        <f>IF(O47="Header","",INDEX('Standard Cart Pricing Formulas'!$N:$N,MATCH(F47,'Standard Cart Pricing Formulas'!$F:$F,0)))</f>
        <v/>
      </c>
      <c r="M47" s="16" t="str">
        <f>IF(LEFT(F47,6)="Header","",INDEX('Standard Cart Pricing Formulas'!$M:$M,MATCH(F47,'Standard Cart Pricing Formulas'!$F:$F,0)))</f>
        <v/>
      </c>
      <c r="N47" s="262" cm="1">
        <f t="array" aca="1" ref="N47" ca="1">CELL("protect",A47)</f>
        <v>0</v>
      </c>
      <c r="O47" s="262" t="str">
        <f t="shared" si="2"/>
        <v>101614</v>
      </c>
      <c r="P47" s="262" t="str">
        <f t="shared" ca="1" si="1"/>
        <v>Good</v>
      </c>
      <c r="Q47" s="262" t="str">
        <f>IF(O47="header","",INDEX('Standard Cart Pricing Formulas'!$O:$O,MATCH(F47,'Standard Cart Pricing Formulas'!$F:$F,0)))</f>
        <v/>
      </c>
    </row>
    <row r="48" spans="1:17" ht="15" customHeight="1" x14ac:dyDescent="0.25">
      <c r="A48" s="48"/>
      <c r="B48" s="49" t="str">
        <f>INDEX('Pricing (Drugs) SS'!$B:$B,MATCH(F48,'Pricing (Drugs) SS'!$A:$A,0))</f>
        <v>DEXAMETHASONE SODIUM PHOSPHATE INJECTION, USP 20mg/5mL (4mg/mL) 5mL VIAL</v>
      </c>
      <c r="C48" s="50" t="str">
        <f>IF(LEFT(F48,6)="Header","",INDEX('Pricing (Drugs) SS'!$E:$E,MATCH(F48,'Pricing (Drugs) SS'!$A:$A,0)))</f>
        <v>4mg/mL</v>
      </c>
      <c r="D48" s="49" t="str">
        <f>IF(LEFT(F48,6)="Header","",INDEX('Pricing (Drugs) SS'!$F:$F,MATCH(F48,'Pricing (Drugs) SS'!$A:$A,0)))</f>
        <v>5mL</v>
      </c>
      <c r="E48" s="51" t="str">
        <f>IF(LEFT(F48,6)="Header","",INDEX('Pricing (Drugs) SS'!$D:$D,MATCH(F48,'Pricing (Drugs) SS'!$A:$A,0)))</f>
        <v>0641-6146-10</v>
      </c>
      <c r="F48" s="119">
        <v>1022730</v>
      </c>
      <c r="G48" s="214" t="str">
        <f>IF(LEFT(F48,6)="Header","",INDEX('Standard Cart Pricing Formulas'!$N:$N,MATCH(F48,'Standard Cart Pricing Formulas'!$F:$F,0)))</f>
        <v/>
      </c>
      <c r="H48" s="269"/>
      <c r="I48" s="270"/>
      <c r="L48" s="16" t="str">
        <f>IF(O48="Header","",INDEX('Standard Cart Pricing Formulas'!$N:$N,MATCH(F48,'Standard Cart Pricing Formulas'!$F:$F,0)))</f>
        <v/>
      </c>
      <c r="M48" s="16" t="str">
        <f>IF(LEFT(F48,6)="Header","",INDEX('Standard Cart Pricing Formulas'!$M:$M,MATCH(F48,'Standard Cart Pricing Formulas'!$F:$F,0)))</f>
        <v/>
      </c>
      <c r="N48" s="262" cm="1">
        <f t="array" aca="1" ref="N48" ca="1">CELL("protect",A48)</f>
        <v>0</v>
      </c>
      <c r="O48" s="262" t="str">
        <f t="shared" si="2"/>
        <v>102273</v>
      </c>
      <c r="P48" s="262" t="str">
        <f t="shared" ca="1" si="1"/>
        <v>Good</v>
      </c>
      <c r="Q48" s="262" t="str">
        <f>IF(O48="header","",INDEX('Standard Cart Pricing Formulas'!$O:$O,MATCH(F48,'Standard Cart Pricing Formulas'!$F:$F,0)))</f>
        <v/>
      </c>
    </row>
    <row r="49" spans="1:17" ht="15" customHeight="1" x14ac:dyDescent="0.25">
      <c r="A49" s="118"/>
      <c r="B49" s="49" t="str">
        <f>INDEX('Pricing (Drugs) SS'!$B:$B,MATCH(F49,'Pricing (Drugs) SS'!$A:$A,0))</f>
        <v>DEXTROSE</v>
      </c>
      <c r="C49" s="50" t="str">
        <f>IF(LEFT(F49,6)="Header","",INDEX('Pricing (Drugs) SS'!$E:$E,MATCH(F49,'Pricing (Drugs) SS'!$A:$A,0)))</f>
        <v/>
      </c>
      <c r="D49" s="49" t="str">
        <f>IF(LEFT(F49,6)="Header","",INDEX('Pricing (Drugs) SS'!$F:$F,MATCH(F49,'Pricing (Drugs) SS'!$A:$A,0)))</f>
        <v/>
      </c>
      <c r="E49" s="51" t="str">
        <f>IF(LEFT(F49,6)="Header","",INDEX('Pricing (Drugs) SS'!$D:$D,MATCH(F49,'Pricing (Drugs) SS'!$A:$A,0)))</f>
        <v/>
      </c>
      <c r="F49" s="119" t="s">
        <v>1549</v>
      </c>
      <c r="G49" s="214" t="str">
        <f>IF(LEFT(F49,6)="Header","",INDEX('Standard Cart Pricing Formulas'!$N:$N,MATCH(F49,'Standard Cart Pricing Formulas'!$F:$F,0)))</f>
        <v/>
      </c>
      <c r="H49" s="51"/>
      <c r="I49" s="272"/>
      <c r="L49" s="16" t="str">
        <f>IF(O49="Header","",INDEX('Standard Cart Pricing Formulas'!$N:$N,MATCH(F49,'Standard Cart Pricing Formulas'!$F:$F,0)))</f>
        <v/>
      </c>
      <c r="M49" s="16" t="str">
        <f>IF(LEFT(F49,6)="Header","",INDEX('Standard Cart Pricing Formulas'!$M:$M,MATCH(F49,'Standard Cart Pricing Formulas'!$F:$F,0)))</f>
        <v/>
      </c>
      <c r="N49" s="262" cm="1">
        <f t="array" aca="1" ref="N49" ca="1">CELL("protect",A49)</f>
        <v>1</v>
      </c>
      <c r="O49" s="262" t="str">
        <f t="shared" si="2"/>
        <v>HEADER</v>
      </c>
      <c r="P49" s="262" t="str">
        <f t="shared" ca="1" si="1"/>
        <v>Good</v>
      </c>
      <c r="Q49" s="262" t="str">
        <f>IF(O49="header","",INDEX('Standard Cart Pricing Formulas'!$O:$O,MATCH(F49,'Standard Cart Pricing Formulas'!$F:$F,0)))</f>
        <v/>
      </c>
    </row>
    <row r="50" spans="1:17" ht="15" customHeight="1" x14ac:dyDescent="0.25">
      <c r="A50" s="48"/>
      <c r="B50" s="49" t="str">
        <f>INDEX('Pricing (Drugs) SS'!$B:$B,MATCH(F50,'Pricing (Drugs) SS'!$A:$A,0))</f>
        <v>INFANT 25% DEXTROSE INJECTION, USP 2.5g (250mg/mL) ANSYR SYR</v>
      </c>
      <c r="C50" s="50" t="str">
        <f>IF(LEFT(F50,6)="Header","",INDEX('Pricing (Drugs) SS'!$E:$E,MATCH(F50,'Pricing (Drugs) SS'!$A:$A,0)))</f>
        <v>250mg/mL</v>
      </c>
      <c r="D50" s="49" t="str">
        <f>IF(LEFT(F50,6)="Header","",INDEX('Pricing (Drugs) SS'!$F:$F,MATCH(F50,'Pricing (Drugs) SS'!$A:$A,0)))</f>
        <v>10mL</v>
      </c>
      <c r="E50" s="51" t="str">
        <f>IF(LEFT(F50,6)="Header","",INDEX('Pricing (Drugs) SS'!$D:$D,MATCH(F50,'Pricing (Drugs) SS'!$A:$A,0)))</f>
        <v>0409-1775-10</v>
      </c>
      <c r="F50" s="119">
        <v>1000140</v>
      </c>
      <c r="G50" s="214" t="str">
        <f>IF(LEFT(F50,6)="Header","",INDEX('Standard Cart Pricing Formulas'!$N:$N,MATCH(F50,'Standard Cart Pricing Formulas'!$F:$F,0)))</f>
        <v/>
      </c>
      <c r="H50" s="269"/>
      <c r="I50" s="270"/>
      <c r="L50" s="16" t="str">
        <f>IF(O50="Header","",INDEX('Standard Cart Pricing Formulas'!$N:$N,MATCH(F50,'Standard Cart Pricing Formulas'!$F:$F,0)))</f>
        <v/>
      </c>
      <c r="M50" s="16" t="str">
        <f>IF(LEFT(F50,6)="Header","",INDEX('Standard Cart Pricing Formulas'!$M:$M,MATCH(F50,'Standard Cart Pricing Formulas'!$F:$F,0)))</f>
        <v/>
      </c>
      <c r="N50" s="262" cm="1">
        <f t="array" aca="1" ref="N50" ca="1">CELL("protect",A50)</f>
        <v>0</v>
      </c>
      <c r="O50" s="262" t="str">
        <f t="shared" si="2"/>
        <v>100014</v>
      </c>
      <c r="P50" s="262" t="str">
        <f t="shared" ca="1" si="1"/>
        <v>Good</v>
      </c>
      <c r="Q50" s="262" t="str">
        <f>IF(O50="header","",INDEX('Standard Cart Pricing Formulas'!$O:$O,MATCH(F50,'Standard Cart Pricing Formulas'!$F:$F,0)))</f>
        <v/>
      </c>
    </row>
    <row r="51" spans="1:17" ht="15" customHeight="1" x14ac:dyDescent="0.25">
      <c r="A51" s="48"/>
      <c r="B51" s="49" t="str">
        <f>INDEX('Pricing (Drugs) SS'!$B:$B,MATCH(F51,'Pricing (Drugs) SS'!$A:$A,0))</f>
        <v>50% DEXTROSE INJECTION, USP 25grams/50mL (0.5g/mL) VIAL</v>
      </c>
      <c r="C51" s="50" t="str">
        <f>IF(LEFT(F51,6)="Header","",INDEX('Pricing (Drugs) SS'!$E:$E,MATCH(F51,'Pricing (Drugs) SS'!$A:$A,0)))</f>
        <v>0.5g/mL</v>
      </c>
      <c r="D51" s="49" t="str">
        <f>IF(LEFT(F51,6)="Header","",INDEX('Pricing (Drugs) SS'!$F:$F,MATCH(F51,'Pricing (Drugs) SS'!$A:$A,0)))</f>
        <v>50mL</v>
      </c>
      <c r="E51" s="51" t="str">
        <f>IF(LEFT(F51,6)="Header","",INDEX('Pricing (Drugs) SS'!$D:$D,MATCH(F51,'Pricing (Drugs) SS'!$A:$A,0)))</f>
        <v>0409-6648-02</v>
      </c>
      <c r="F51" s="119">
        <v>1000160</v>
      </c>
      <c r="G51" s="214" t="str">
        <f>IF(LEFT(F51,6)="Header","",INDEX('Standard Cart Pricing Formulas'!$N:$N,MATCH(F51,'Standard Cart Pricing Formulas'!$F:$F,0)))</f>
        <v/>
      </c>
      <c r="H51" s="269"/>
      <c r="I51" s="270"/>
      <c r="L51" s="16" t="str">
        <f>IF(O51="Header","",INDEX('Standard Cart Pricing Formulas'!$N:$N,MATCH(F51,'Standard Cart Pricing Formulas'!$F:$F,0)))</f>
        <v/>
      </c>
      <c r="M51" s="16" t="str">
        <f>IF(LEFT(F51,6)="Header","",INDEX('Standard Cart Pricing Formulas'!$M:$M,MATCH(F51,'Standard Cart Pricing Formulas'!$F:$F,0)))</f>
        <v/>
      </c>
      <c r="N51" s="262" cm="1">
        <f t="array" aca="1" ref="N51" ca="1">CELL("protect",A51)</f>
        <v>0</v>
      </c>
      <c r="O51" s="262" t="str">
        <f t="shared" si="2"/>
        <v>100016</v>
      </c>
      <c r="P51" s="262" t="str">
        <f t="shared" ca="1" si="1"/>
        <v>Good</v>
      </c>
      <c r="Q51" s="262" t="str">
        <f>IF(O51="header","",INDEX('Standard Cart Pricing Formulas'!$O:$O,MATCH(F51,'Standard Cart Pricing Formulas'!$F:$F,0)))</f>
        <v/>
      </c>
    </row>
    <row r="52" spans="1:17" ht="15" customHeight="1" x14ac:dyDescent="0.25">
      <c r="A52" s="48"/>
      <c r="B52" s="49" t="str">
        <f>INDEX('Pricing (Drugs) SS'!$B:$B,MATCH(F52,'Pricing (Drugs) SS'!$A:$A,0))</f>
        <v>50% DEXTROSE INJECTION, USP 25g/50mL (0.5 g/mL) 50mL LUER-JET™ SYR</v>
      </c>
      <c r="C52" s="50" t="str">
        <f>IF(LEFT(F52,6)="Header","",INDEX('Pricing (Drugs) SS'!$E:$E,MATCH(F52,'Pricing (Drugs) SS'!$A:$A,0)))</f>
        <v>0.5 g/mL</v>
      </c>
      <c r="D52" s="49" t="str">
        <f>IF(LEFT(F52,6)="Header","",INDEX('Pricing (Drugs) SS'!$F:$F,MATCH(F52,'Pricing (Drugs) SS'!$A:$A,0)))</f>
        <v>50 mL</v>
      </c>
      <c r="E52" s="51" t="str">
        <f>IF(LEFT(F52,6)="Header","",INDEX('Pricing (Drugs) SS'!$D:$D,MATCH(F52,'Pricing (Drugs) SS'!$A:$A,0)))</f>
        <v>76329-3302-1</v>
      </c>
      <c r="F52" s="119">
        <v>1017610</v>
      </c>
      <c r="G52" s="214" t="str">
        <f>IF(LEFT(F52,6)="Header","",INDEX('Standard Cart Pricing Formulas'!$N:$N,MATCH(F52,'Standard Cart Pricing Formulas'!$F:$F,0)))</f>
        <v/>
      </c>
      <c r="H52" s="269"/>
      <c r="I52" s="270"/>
      <c r="L52" s="16" t="str">
        <f>IF(O52="Header","",INDEX('Standard Cart Pricing Formulas'!$N:$N,MATCH(F52,'Standard Cart Pricing Formulas'!$F:$F,0)))</f>
        <v/>
      </c>
      <c r="M52" s="16" t="str">
        <f>IF(LEFT(F52,6)="Header","",INDEX('Standard Cart Pricing Formulas'!$M:$M,MATCH(F52,'Standard Cart Pricing Formulas'!$F:$F,0)))</f>
        <v/>
      </c>
      <c r="N52" s="262" cm="1">
        <f t="array" aca="1" ref="N52" ca="1">CELL("protect",A52)</f>
        <v>0</v>
      </c>
      <c r="O52" s="262" t="str">
        <f t="shared" si="2"/>
        <v>101761</v>
      </c>
      <c r="P52" s="262" t="str">
        <f t="shared" ca="1" si="1"/>
        <v>Good</v>
      </c>
      <c r="Q52" s="262" t="str">
        <f>IF(O52="header","",INDEX('Standard Cart Pricing Formulas'!$O:$O,MATCH(F52,'Standard Cart Pricing Formulas'!$F:$F,0)))</f>
        <v/>
      </c>
    </row>
    <row r="53" spans="1:17" ht="15" customHeight="1" x14ac:dyDescent="0.25">
      <c r="A53" s="48"/>
      <c r="B53" s="49" t="str">
        <f>INDEX('Pricing (Drugs) SS'!$B:$B,MATCH(F53,'Pricing (Drugs) SS'!$A:$A,0))</f>
        <v>5% DEXTROSE INJECTION, USP 250mL BAG</v>
      </c>
      <c r="C53" s="50" t="str">
        <f>IF(LEFT(F53,6)="Header","",INDEX('Pricing (Drugs) SS'!$E:$E,MATCH(F53,'Pricing (Drugs) SS'!$A:$A,0)))</f>
        <v>50mg/mL</v>
      </c>
      <c r="D53" s="49" t="str">
        <f>IF(LEFT(F53,6)="Header","",INDEX('Pricing (Drugs) SS'!$F:$F,MATCH(F53,'Pricing (Drugs) SS'!$A:$A,0)))</f>
        <v>250mL</v>
      </c>
      <c r="E53" s="51" t="str">
        <f>IF(LEFT(F53,6)="Header","",INDEX('Pricing (Drugs) SS'!$D:$D,MATCH(F53,'Pricing (Drugs) SS'!$A:$A,0)))</f>
        <v>0990-7922-02</v>
      </c>
      <c r="F53" s="119">
        <v>1013200</v>
      </c>
      <c r="G53" s="214" t="str">
        <f>IF(LEFT(F53,6)="Header","",INDEX('Standard Cart Pricing Formulas'!$N:$N,MATCH(F53,'Standard Cart Pricing Formulas'!$F:$F,0)))</f>
        <v/>
      </c>
      <c r="H53" s="269"/>
      <c r="I53" s="270"/>
      <c r="L53" s="16" t="str">
        <f>IF(O53="Header","",INDEX('Standard Cart Pricing Formulas'!$N:$N,MATCH(F53,'Standard Cart Pricing Formulas'!$F:$F,0)))</f>
        <v/>
      </c>
      <c r="M53" s="16" t="str">
        <f>IF(LEFT(F53,6)="Header","",INDEX('Standard Cart Pricing Formulas'!$M:$M,MATCH(F53,'Standard Cart Pricing Formulas'!$F:$F,0)))</f>
        <v/>
      </c>
      <c r="N53" s="262" cm="1">
        <f t="array" aca="1" ref="N53" ca="1">CELL("protect",A53)</f>
        <v>0</v>
      </c>
      <c r="O53" s="262" t="str">
        <f t="shared" si="2"/>
        <v>101320</v>
      </c>
      <c r="P53" s="262" t="str">
        <f t="shared" ca="1" si="1"/>
        <v>Good</v>
      </c>
      <c r="Q53" s="262" t="str">
        <f>IF(O53="header","",INDEX('Standard Cart Pricing Formulas'!$O:$O,MATCH(F53,'Standard Cart Pricing Formulas'!$F:$F,0)))</f>
        <v/>
      </c>
    </row>
    <row r="54" spans="1:17" ht="15" customHeight="1" x14ac:dyDescent="0.25">
      <c r="A54" s="118"/>
      <c r="B54" s="49" t="str">
        <f>INDEX('Pricing (Drugs) SS'!$B:$B,MATCH(F54,'Pricing (Drugs) SS'!$A:$A,0))</f>
        <v>DIGOXIN</v>
      </c>
      <c r="C54" s="50" t="str">
        <f>IF(LEFT(F54,6)="Header","",INDEX('Pricing (Drugs) SS'!$E:$E,MATCH(F54,'Pricing (Drugs) SS'!$A:$A,0)))</f>
        <v/>
      </c>
      <c r="D54" s="49" t="str">
        <f>IF(LEFT(F54,6)="Header","",INDEX('Pricing (Drugs) SS'!$F:$F,MATCH(F54,'Pricing (Drugs) SS'!$A:$A,0)))</f>
        <v/>
      </c>
      <c r="E54" s="51" t="str">
        <f>IF(LEFT(F54,6)="Header","",INDEX('Pricing (Drugs) SS'!$D:$D,MATCH(F54,'Pricing (Drugs) SS'!$A:$A,0)))</f>
        <v/>
      </c>
      <c r="F54" s="119" t="s">
        <v>1550</v>
      </c>
      <c r="G54" s="214" t="str">
        <f>IF(LEFT(F54,6)="Header","",INDEX('Standard Cart Pricing Formulas'!$N:$N,MATCH(F54,'Standard Cart Pricing Formulas'!$F:$F,0)))</f>
        <v/>
      </c>
      <c r="H54" s="51"/>
      <c r="I54" s="272"/>
      <c r="L54" s="16" t="str">
        <f>IF(O54="Header","",INDEX('Standard Cart Pricing Formulas'!$N:$N,MATCH(F54,'Standard Cart Pricing Formulas'!$F:$F,0)))</f>
        <v/>
      </c>
      <c r="M54" s="16" t="str">
        <f>IF(LEFT(F54,6)="Header","",INDEX('Standard Cart Pricing Formulas'!$M:$M,MATCH(F54,'Standard Cart Pricing Formulas'!$F:$F,0)))</f>
        <v/>
      </c>
      <c r="N54" s="262" cm="1">
        <f t="array" aca="1" ref="N54" ca="1">CELL("protect",A54)</f>
        <v>1</v>
      </c>
      <c r="O54" s="262" t="str">
        <f t="shared" si="2"/>
        <v>HEADER</v>
      </c>
      <c r="P54" s="262" t="str">
        <f t="shared" ca="1" si="1"/>
        <v>Good</v>
      </c>
      <c r="Q54" s="262" t="str">
        <f>IF(O54="header","",INDEX('Standard Cart Pricing Formulas'!$O:$O,MATCH(F54,'Standard Cart Pricing Formulas'!$F:$F,0)))</f>
        <v/>
      </c>
    </row>
    <row r="55" spans="1:17" ht="15" customHeight="1" x14ac:dyDescent="0.25">
      <c r="A55" s="48"/>
      <c r="B55" s="49" t="str">
        <f>INDEX('Pricing (Drugs) SS'!$B:$B,MATCH(F55,'Pricing (Drugs) SS'!$A:$A,0))</f>
        <v>DIGOXIN INJECTION, USP 500mcg/2mL 0.5/2mL (250mcg/mL) AMP</v>
      </c>
      <c r="C55" s="50" t="str">
        <f>IF(LEFT(F55,6)="Header","",INDEX('Pricing (Drugs) SS'!$E:$E,MATCH(F55,'Pricing (Drugs) SS'!$A:$A,0)))</f>
        <v>0.25mg/mL</v>
      </c>
      <c r="D55" s="49" t="str">
        <f>IF(LEFT(F55,6)="Header","",INDEX('Pricing (Drugs) SS'!$F:$F,MATCH(F55,'Pricing (Drugs) SS'!$A:$A,0)))</f>
        <v>2mL</v>
      </c>
      <c r="E55" s="51" t="str">
        <f>IF(LEFT(F55,6)="Header","",INDEX('Pricing (Drugs) SS'!$D:$D,MATCH(F55,'Pricing (Drugs) SS'!$A:$A,0)))</f>
        <v>0641-1410-35</v>
      </c>
      <c r="F55" s="119">
        <v>1000180</v>
      </c>
      <c r="G55" s="214" t="str">
        <f>IF(LEFT(F55,6)="Header","",INDEX('Standard Cart Pricing Formulas'!$N:$N,MATCH(F55,'Standard Cart Pricing Formulas'!$F:$F,0)))</f>
        <v/>
      </c>
      <c r="H55" s="269"/>
      <c r="I55" s="270"/>
      <c r="L55" s="16" t="str">
        <f>IF(O55="Header","",INDEX('Standard Cart Pricing Formulas'!$N:$N,MATCH(F55,'Standard Cart Pricing Formulas'!$F:$F,0)))</f>
        <v/>
      </c>
      <c r="M55" s="16" t="str">
        <f>IF(LEFT(F55,6)="Header","",INDEX('Standard Cart Pricing Formulas'!$M:$M,MATCH(F55,'Standard Cart Pricing Formulas'!$F:$F,0)))</f>
        <v/>
      </c>
      <c r="N55" s="262" cm="1">
        <f t="array" aca="1" ref="N55" ca="1">CELL("protect",A55)</f>
        <v>0</v>
      </c>
      <c r="O55" s="262" t="str">
        <f t="shared" si="2"/>
        <v>100018</v>
      </c>
      <c r="P55" s="262" t="str">
        <f t="shared" ca="1" si="1"/>
        <v>Good</v>
      </c>
      <c r="Q55" s="262" t="str">
        <f>IF(O55="header","",INDEX('Standard Cart Pricing Formulas'!$O:$O,MATCH(F55,'Standard Cart Pricing Formulas'!$F:$F,0)))</f>
        <v/>
      </c>
    </row>
    <row r="56" spans="1:17" s="264" customFormat="1" ht="15" customHeight="1" x14ac:dyDescent="0.25">
      <c r="A56" s="118"/>
      <c r="B56" s="49" t="str">
        <f>INDEX('Pricing (Drugs) SS'!$B:$B,MATCH(F56,'Pricing (Drugs) SS'!$A:$A,0))</f>
        <v>DILTIAZEM</v>
      </c>
      <c r="C56" s="50" t="str">
        <f>IF(LEFT(F56,6)="Header","",INDEX('Pricing (Drugs) SS'!$E:$E,MATCH(F56,'Pricing (Drugs) SS'!$A:$A,0)))</f>
        <v/>
      </c>
      <c r="D56" s="49" t="str">
        <f>IF(LEFT(F56,6)="Header","",INDEX('Pricing (Drugs) SS'!$F:$F,MATCH(F56,'Pricing (Drugs) SS'!$A:$A,0)))</f>
        <v/>
      </c>
      <c r="E56" s="51" t="str">
        <f>IF(LEFT(F56,6)="Header","",INDEX('Pricing (Drugs) SS'!$D:$D,MATCH(F56,'Pricing (Drugs) SS'!$A:$A,0)))</f>
        <v/>
      </c>
      <c r="F56" s="119" t="s">
        <v>1551</v>
      </c>
      <c r="G56" s="214" t="str">
        <f>IF(LEFT(F56,6)="Header","",INDEX('Standard Cart Pricing Formulas'!$N:$N,MATCH(F56,'Standard Cart Pricing Formulas'!$F:$F,0)))</f>
        <v/>
      </c>
      <c r="H56" s="51"/>
      <c r="I56" s="272"/>
      <c r="L56" s="16" t="str">
        <f>IF(O56="Header","",INDEX('Standard Cart Pricing Formulas'!$N:$N,MATCH(F56,'Standard Cart Pricing Formulas'!$F:$F,0)))</f>
        <v/>
      </c>
      <c r="M56" s="16" t="str">
        <f>IF(LEFT(F56,6)="Header","",INDEX('Standard Cart Pricing Formulas'!$M:$M,MATCH(F56,'Standard Cart Pricing Formulas'!$F:$F,0)))</f>
        <v/>
      </c>
      <c r="N56" s="262" cm="1">
        <f t="array" aca="1" ref="N56" ca="1">CELL("protect",A56)</f>
        <v>1</v>
      </c>
      <c r="O56" s="262" t="str">
        <f t="shared" si="2"/>
        <v>HEADER</v>
      </c>
      <c r="P56" s="262" t="str">
        <f t="shared" ca="1" si="1"/>
        <v>Good</v>
      </c>
      <c r="Q56" s="262" t="str">
        <f>IF(O56="header","",INDEX('Standard Cart Pricing Formulas'!$O:$O,MATCH(F56,'Standard Cart Pricing Formulas'!$F:$F,0)))</f>
        <v/>
      </c>
    </row>
    <row r="57" spans="1:17" ht="15" customHeight="1" x14ac:dyDescent="0.25">
      <c r="A57" s="48"/>
      <c r="B57" s="49" t="str">
        <f>INDEX('Pricing (Drugs) SS'!$B:$B,MATCH(F57,'Pricing (Drugs) SS'!$A:$A,0))</f>
        <v>DILTIAZEM HCI INJECTION 25mg/5mL (5 mg/mL) 5mL VIAL</v>
      </c>
      <c r="C57" s="50" t="str">
        <f>IF(LEFT(F57,6)="Header","",INDEX('Pricing (Drugs) SS'!$E:$E,MATCH(F57,'Pricing (Drugs) SS'!$A:$A,0)))</f>
        <v>25mg/5mL (5 mg/mL</v>
      </c>
      <c r="D57" s="49" t="str">
        <f>IF(LEFT(F57,6)="Header","",INDEX('Pricing (Drugs) SS'!$F:$F,MATCH(F57,'Pricing (Drugs) SS'!$A:$A,0)))</f>
        <v>5mL</v>
      </c>
      <c r="E57" s="51" t="str">
        <f>IF(LEFT(F57,6)="Header","",INDEX('Pricing (Drugs) SS'!$D:$D,MATCH(F57,'Pricing (Drugs) SS'!$A:$A,0)))</f>
        <v>0641-6013-10</v>
      </c>
      <c r="F57" s="119">
        <v>1010080</v>
      </c>
      <c r="G57" s="214" t="str">
        <f>IF(LEFT(F57,6)="Header","",INDEX('Standard Cart Pricing Formulas'!$N:$N,MATCH(F57,'Standard Cart Pricing Formulas'!$F:$F,0)))</f>
        <v/>
      </c>
      <c r="H57" s="269"/>
      <c r="I57" s="270"/>
      <c r="L57" s="16" t="str">
        <f>IF(O57="Header","",INDEX('Standard Cart Pricing Formulas'!$N:$N,MATCH(F57,'Standard Cart Pricing Formulas'!$F:$F,0)))</f>
        <v/>
      </c>
      <c r="M57" s="16" t="str">
        <f>IF(LEFT(F57,6)="Header","",INDEX('Standard Cart Pricing Formulas'!$M:$M,MATCH(F57,'Standard Cart Pricing Formulas'!$F:$F,0)))</f>
        <v>C</v>
      </c>
      <c r="N57" s="262" cm="1">
        <f t="array" aca="1" ref="N57" ca="1">CELL("protect",A57)</f>
        <v>0</v>
      </c>
      <c r="O57" s="262" t="str">
        <f t="shared" si="2"/>
        <v>101008</v>
      </c>
      <c r="P57" s="262" t="str">
        <f t="shared" ca="1" si="1"/>
        <v>Good</v>
      </c>
      <c r="Q57" s="262" t="str">
        <f>IF(O57="header","",INDEX('Standard Cart Pricing Formulas'!$O:$O,MATCH(F57,'Standard Cart Pricing Formulas'!$F:$F,0)))</f>
        <v/>
      </c>
    </row>
    <row r="58" spans="1:17" ht="15" customHeight="1" x14ac:dyDescent="0.25">
      <c r="A58" s="48"/>
      <c r="B58" s="49" t="str">
        <f>INDEX('Pricing (Drugs) SS'!$B:$B,MATCH(F58,'Pricing (Drugs) SS'!$A:$A,0))</f>
        <v>DILTIAZEM HCI FOR INJECTION 100mg/VIAL DILTIAZEM HCl VIAL</v>
      </c>
      <c r="C58" s="50" t="str">
        <f>IF(LEFT(F58,6)="Header","",INDEX('Pricing (Drugs) SS'!$E:$E,MATCH(F58,'Pricing (Drugs) SS'!$A:$A,0)))</f>
        <v>100mg/1</v>
      </c>
      <c r="D58" s="49" t="str">
        <f>IF(LEFT(F58,6)="Header","",INDEX('Pricing (Drugs) SS'!$F:$F,MATCH(F58,'Pricing (Drugs) SS'!$A:$A,0)))</f>
        <v>15mL</v>
      </c>
      <c r="E58" s="51" t="str">
        <f>IF(LEFT(F58,6)="Header","",INDEX('Pricing (Drugs) SS'!$D:$D,MATCH(F58,'Pricing (Drugs) SS'!$A:$A,0)))</f>
        <v>0409-4350-03</v>
      </c>
      <c r="F58" s="119">
        <v>1012770</v>
      </c>
      <c r="G58" s="214" t="str">
        <f>IF(LEFT(F58,6)="Header","",INDEX('Standard Cart Pricing Formulas'!$N:$N,MATCH(F58,'Standard Cart Pricing Formulas'!$F:$F,0)))</f>
        <v/>
      </c>
      <c r="H58" s="269"/>
      <c r="I58" s="270"/>
      <c r="L58" s="16" t="str">
        <f>IF(O58="Header","",INDEX('Standard Cart Pricing Formulas'!$N:$N,MATCH(F58,'Standard Cart Pricing Formulas'!$F:$F,0)))</f>
        <v/>
      </c>
      <c r="M58" s="16" t="str">
        <f>IF(LEFT(F58,6)="Header","",INDEX('Standard Cart Pricing Formulas'!$M:$M,MATCH(F58,'Standard Cart Pricing Formulas'!$F:$F,0)))</f>
        <v/>
      </c>
      <c r="N58" s="262" cm="1">
        <f t="array" aca="1" ref="N58" ca="1">CELL("protect",A58)</f>
        <v>0</v>
      </c>
      <c r="O58" s="262" t="str">
        <f t="shared" si="2"/>
        <v>101277</v>
      </c>
      <c r="P58" s="262" t="str">
        <f t="shared" ca="1" si="1"/>
        <v>Good</v>
      </c>
      <c r="Q58" s="262" t="str">
        <f>IF(O58="header","",INDEX('Standard Cart Pricing Formulas'!$O:$O,MATCH(F58,'Standard Cart Pricing Formulas'!$F:$F,0)))</f>
        <v/>
      </c>
    </row>
    <row r="59" spans="1:17" s="265" customFormat="1" ht="15" customHeight="1" x14ac:dyDescent="0.25">
      <c r="A59" s="118"/>
      <c r="B59" s="49" t="str">
        <f>INDEX('Pricing (Drugs) SS'!$B:$B,MATCH(F59,'Pricing (Drugs) SS'!$A:$A,0))</f>
        <v>DIPHENHYDRAMINE</v>
      </c>
      <c r="C59" s="50" t="str">
        <f>IF(LEFT(F59,6)="Header","",INDEX('Pricing (Drugs) SS'!$E:$E,MATCH(F59,'Pricing (Drugs) SS'!$A:$A,0)))</f>
        <v/>
      </c>
      <c r="D59" s="49" t="str">
        <f>IF(LEFT(F59,6)="Header","",INDEX('Pricing (Drugs) SS'!$F:$F,MATCH(F59,'Pricing (Drugs) SS'!$A:$A,0)))</f>
        <v/>
      </c>
      <c r="E59" s="51" t="str">
        <f>IF(LEFT(F59,6)="Header","",INDEX('Pricing (Drugs) SS'!$D:$D,MATCH(F59,'Pricing (Drugs) SS'!$A:$A,0)))</f>
        <v/>
      </c>
      <c r="F59" s="119" t="s">
        <v>1552</v>
      </c>
      <c r="G59" s="214" t="str">
        <f>IF(LEFT(F59,6)="Header","",INDEX('Standard Cart Pricing Formulas'!$N:$N,MATCH(F59,'Standard Cart Pricing Formulas'!$F:$F,0)))</f>
        <v/>
      </c>
      <c r="H59" s="51"/>
      <c r="I59" s="272"/>
      <c r="L59" s="16" t="str">
        <f>IF(O59="Header","",INDEX('Standard Cart Pricing Formulas'!$N:$N,MATCH(F59,'Standard Cart Pricing Formulas'!$F:$F,0)))</f>
        <v/>
      </c>
      <c r="M59" s="16" t="str">
        <f>IF(LEFT(F59,6)="Header","",INDEX('Standard Cart Pricing Formulas'!$M:$M,MATCH(F59,'Standard Cart Pricing Formulas'!$F:$F,0)))</f>
        <v/>
      </c>
      <c r="N59" s="262" cm="1">
        <f t="array" aca="1" ref="N59" ca="1">CELL("protect",A59)</f>
        <v>1</v>
      </c>
      <c r="O59" s="262" t="str">
        <f t="shared" si="2"/>
        <v>HEADER</v>
      </c>
      <c r="P59" s="262" t="str">
        <f t="shared" ca="1" si="1"/>
        <v>Good</v>
      </c>
      <c r="Q59" s="262" t="str">
        <f>IF(O59="header","",INDEX('Standard Cart Pricing Formulas'!$O:$O,MATCH(F59,'Standard Cart Pricing Formulas'!$F:$F,0)))</f>
        <v/>
      </c>
    </row>
    <row r="60" spans="1:17" s="267" customFormat="1" ht="15" customHeight="1" x14ac:dyDescent="0.25">
      <c r="A60" s="48"/>
      <c r="B60" s="49" t="str">
        <f>INDEX('Pricing (Drugs) SS'!$B:$B,MATCH(F60,'Pricing (Drugs) SS'!$A:$A,0))</f>
        <v>DIPHENHYDRAMINE HCI INJECTION, USP 50mg/mL 1mL VIAL</v>
      </c>
      <c r="C60" s="50" t="str">
        <f>IF(LEFT(F60,6)="Header","",INDEX('Pricing (Drugs) SS'!$E:$E,MATCH(F60,'Pricing (Drugs) SS'!$A:$A,0)))</f>
        <v>50mg/mL</v>
      </c>
      <c r="D60" s="49" t="str">
        <f>IF(LEFT(F60,6)="Header","",INDEX('Pricing (Drugs) SS'!$F:$F,MATCH(F60,'Pricing (Drugs) SS'!$A:$A,0)))</f>
        <v>1mL</v>
      </c>
      <c r="E60" s="51" t="str">
        <f>IF(LEFT(F60,6)="Header","",INDEX('Pricing (Drugs) SS'!$D:$D,MATCH(F60,'Pricing (Drugs) SS'!$A:$A,0)))</f>
        <v>0641-0376-25</v>
      </c>
      <c r="F60" s="119">
        <v>1000200</v>
      </c>
      <c r="G60" s="214" t="str">
        <f>IF(LEFT(F60,6)="Header","",INDEX('Standard Cart Pricing Formulas'!$N:$N,MATCH(F60,'Standard Cart Pricing Formulas'!$F:$F,0)))</f>
        <v/>
      </c>
      <c r="H60" s="269"/>
      <c r="I60" s="270"/>
      <c r="L60" s="16" t="str">
        <f>IF(O60="Header","",INDEX('Standard Cart Pricing Formulas'!$N:$N,MATCH(F60,'Standard Cart Pricing Formulas'!$F:$F,0)))</f>
        <v/>
      </c>
      <c r="M60" s="16" t="str">
        <f>IF(LEFT(F60,6)="Header","",INDEX('Standard Cart Pricing Formulas'!$M:$M,MATCH(F60,'Standard Cart Pricing Formulas'!$F:$F,0)))</f>
        <v/>
      </c>
      <c r="N60" s="262" cm="1">
        <f t="array" aca="1" ref="N60" ca="1">CELL("protect",A60)</f>
        <v>0</v>
      </c>
      <c r="O60" s="262" t="str">
        <f t="shared" si="2"/>
        <v>100020</v>
      </c>
      <c r="P60" s="262" t="str">
        <f t="shared" ca="1" si="1"/>
        <v>Good</v>
      </c>
      <c r="Q60" s="262" t="str">
        <f>IF(O60="header","",INDEX('Standard Cart Pricing Formulas'!$O:$O,MATCH(F60,'Standard Cart Pricing Formulas'!$F:$F,0)))</f>
        <v/>
      </c>
    </row>
    <row r="61" spans="1:17" ht="15" customHeight="1" x14ac:dyDescent="0.25">
      <c r="A61" s="48"/>
      <c r="B61" s="49" t="str">
        <f>INDEX('Pricing (Drugs) SS'!$B:$B,MATCH(F61,'Pricing (Drugs) SS'!$A:$A,0))</f>
        <v>DIPHENHYDRAMINE HCl 25mg CAPLET (2 PACK)</v>
      </c>
      <c r="C61" s="50" t="str">
        <f>IF(LEFT(F61,6)="Header","",INDEX('Pricing (Drugs) SS'!$E:$E,MATCH(F61,'Pricing (Drugs) SS'!$A:$A,0)))</f>
        <v>25 mg/1</v>
      </c>
      <c r="D61" s="49" t="str">
        <f>IF(LEFT(F61,6)="Header","",INDEX('Pricing (Drugs) SS'!$F:$F,MATCH(F61,'Pricing (Drugs) SS'!$A:$A,0)))</f>
        <v>1 caplet</v>
      </c>
      <c r="E61" s="51" t="str">
        <f>IF(LEFT(F61,6)="Header","",INDEX('Pricing (Drugs) SS'!$D:$D,MATCH(F61,'Pricing (Drugs) SS'!$A:$A,0)))</f>
        <v>47682-167-47</v>
      </c>
      <c r="F61" s="119">
        <v>1024640</v>
      </c>
      <c r="G61" s="214" t="str">
        <f>IF(LEFT(F61,6)="Header","",INDEX('Standard Cart Pricing Formulas'!$N:$N,MATCH(F61,'Standard Cart Pricing Formulas'!$F:$F,0)))</f>
        <v/>
      </c>
      <c r="H61" s="269"/>
      <c r="I61" s="270"/>
      <c r="L61" s="16" t="str">
        <f>IF(O61="Header","",INDEX('Standard Cart Pricing Formulas'!$N:$N,MATCH(F61,'Standard Cart Pricing Formulas'!$F:$F,0)))</f>
        <v/>
      </c>
      <c r="M61" s="16" t="str">
        <f>IF(LEFT(F61,6)="Header","",INDEX('Standard Cart Pricing Formulas'!$M:$M,MATCH(F61,'Standard Cart Pricing Formulas'!$F:$F,0)))</f>
        <v/>
      </c>
      <c r="N61" s="262" cm="1">
        <f t="array" aca="1" ref="N61" ca="1">CELL("protect",A61)</f>
        <v>0</v>
      </c>
      <c r="O61" s="262" t="str">
        <f t="shared" si="2"/>
        <v>102464</v>
      </c>
      <c r="P61" s="262" t="str">
        <f t="shared" ca="1" si="1"/>
        <v>Good</v>
      </c>
      <c r="Q61" s="262" t="str">
        <f>IF(O61="header","",INDEX('Standard Cart Pricing Formulas'!$O:$O,MATCH(F61,'Standard Cart Pricing Formulas'!$F:$F,0)))</f>
        <v/>
      </c>
    </row>
    <row r="62" spans="1:17" ht="15" customHeight="1" x14ac:dyDescent="0.25">
      <c r="A62" s="118"/>
      <c r="B62" s="49" t="str">
        <f>INDEX('Pricing (Drugs) SS'!$B:$B,MATCH(F62,'Pricing (Drugs) SS'!$A:$A,0))</f>
        <v>DOBUTAMINE</v>
      </c>
      <c r="C62" s="50" t="str">
        <f>IF(LEFT(F62,6)="Header","",INDEX('Pricing (Drugs) SS'!$E:$E,MATCH(F62,'Pricing (Drugs) SS'!$A:$A,0)))</f>
        <v/>
      </c>
      <c r="D62" s="49" t="str">
        <f>IF(LEFT(F62,6)="Header","",INDEX('Pricing (Drugs) SS'!$F:$F,MATCH(F62,'Pricing (Drugs) SS'!$A:$A,0)))</f>
        <v/>
      </c>
      <c r="E62" s="51" t="str">
        <f>IF(LEFT(F62,6)="Header","",INDEX('Pricing (Drugs) SS'!$D:$D,MATCH(F62,'Pricing (Drugs) SS'!$A:$A,0)))</f>
        <v/>
      </c>
      <c r="F62" s="119" t="s">
        <v>1553</v>
      </c>
      <c r="G62" s="214" t="str">
        <f>IF(LEFT(F62,6)="Header","",INDEX('Standard Cart Pricing Formulas'!$N:$N,MATCH(F62,'Standard Cart Pricing Formulas'!$F:$F,0)))</f>
        <v/>
      </c>
      <c r="H62" s="51"/>
      <c r="I62" s="272"/>
      <c r="L62" s="16" t="str">
        <f>IF(O62="Header","",INDEX('Standard Cart Pricing Formulas'!$N:$N,MATCH(F62,'Standard Cart Pricing Formulas'!$F:$F,0)))</f>
        <v/>
      </c>
      <c r="M62" s="16" t="str">
        <f>IF(LEFT(F62,6)="Header","",INDEX('Standard Cart Pricing Formulas'!$M:$M,MATCH(F62,'Standard Cart Pricing Formulas'!$F:$F,0)))</f>
        <v/>
      </c>
      <c r="N62" s="262" cm="1">
        <f t="array" aca="1" ref="N62" ca="1">CELL("protect",A62)</f>
        <v>1</v>
      </c>
      <c r="O62" s="262" t="str">
        <f t="shared" si="2"/>
        <v>HEADER</v>
      </c>
      <c r="P62" s="262" t="str">
        <f t="shared" ca="1" si="1"/>
        <v>Good</v>
      </c>
      <c r="Q62" s="262" t="str">
        <f>IF(O62="header","",INDEX('Standard Cart Pricing Formulas'!$O:$O,MATCH(F62,'Standard Cart Pricing Formulas'!$F:$F,0)))</f>
        <v/>
      </c>
    </row>
    <row r="63" spans="1:17" ht="15" customHeight="1" x14ac:dyDescent="0.25">
      <c r="A63" s="48"/>
      <c r="B63" s="49" t="str">
        <f>INDEX('Pricing (Drugs) SS'!$B:$B,MATCH(F63,'Pricing (Drugs) SS'!$A:$A,0))</f>
        <v>DOBUTAMINE INJECTION, USP 250mg PER 20mL VIAL</v>
      </c>
      <c r="C63" s="50" t="str">
        <f>IF(LEFT(F63,6)="Header","",INDEX('Pricing (Drugs) SS'!$E:$E,MATCH(F63,'Pricing (Drugs) SS'!$A:$A,0)))</f>
        <v>250mg PER 20mL</v>
      </c>
      <c r="D63" s="49" t="str">
        <f>IF(LEFT(F63,6)="Header","",INDEX('Pricing (Drugs) SS'!$F:$F,MATCH(F63,'Pricing (Drugs) SS'!$A:$A,0)))</f>
        <v>20mL</v>
      </c>
      <c r="E63" s="51" t="str">
        <f>IF(LEFT(F63,6)="Header","",INDEX('Pricing (Drugs) SS'!$D:$D,MATCH(F63,'Pricing (Drugs) SS'!$A:$A,0)))</f>
        <v>0409-2344-02</v>
      </c>
      <c r="F63" s="119">
        <v>1010100</v>
      </c>
      <c r="G63" s="214" t="str">
        <f>IF(LEFT(F63,6)="Header","",INDEX('Standard Cart Pricing Formulas'!$N:$N,MATCH(F63,'Standard Cart Pricing Formulas'!$F:$F,0)))</f>
        <v/>
      </c>
      <c r="H63" s="269"/>
      <c r="I63" s="270"/>
      <c r="L63" s="16" t="str">
        <f>IF(O63="Header","",INDEX('Standard Cart Pricing Formulas'!$N:$N,MATCH(F63,'Standard Cart Pricing Formulas'!$F:$F,0)))</f>
        <v/>
      </c>
      <c r="M63" s="16" t="str">
        <f>IF(LEFT(F63,6)="Header","",INDEX('Standard Cart Pricing Formulas'!$M:$M,MATCH(F63,'Standard Cart Pricing Formulas'!$F:$F,0)))</f>
        <v/>
      </c>
      <c r="N63" s="262" cm="1">
        <f t="array" aca="1" ref="N63" ca="1">CELL("protect",A63)</f>
        <v>0</v>
      </c>
      <c r="O63" s="262" t="str">
        <f t="shared" si="2"/>
        <v>101010</v>
      </c>
      <c r="P63" s="262" t="str">
        <f t="shared" ca="1" si="1"/>
        <v>Good</v>
      </c>
      <c r="Q63" s="262" t="str">
        <f>IF(O63="header","",INDEX('Standard Cart Pricing Formulas'!$O:$O,MATCH(F63,'Standard Cart Pricing Formulas'!$F:$F,0)))</f>
        <v/>
      </c>
    </row>
    <row r="64" spans="1:17" ht="15" customHeight="1" x14ac:dyDescent="0.25">
      <c r="A64" s="48"/>
      <c r="B64" s="49" t="str">
        <f>INDEX('Pricing (Drugs) SS'!$B:$B,MATCH(F64,'Pricing (Drugs) SS'!$A:$A,0))</f>
        <v>DOBUTAMINE HYDROCHLORIDE IN 5% DEXTROSE INJECTION, 250mg PER 250mL (1,000 mcg/mL) 250mL BAG</v>
      </c>
      <c r="C64" s="50" t="str">
        <f>IF(LEFT(F64,6)="Header","",INDEX('Pricing (Drugs) SS'!$E:$E,MATCH(F64,'Pricing (Drugs) SS'!$A:$A,0)))</f>
        <v>1,000mcg/mL</v>
      </c>
      <c r="D64" s="49" t="str">
        <f>IF(LEFT(F64,6)="Header","",INDEX('Pricing (Drugs) SS'!$F:$F,MATCH(F64,'Pricing (Drugs) SS'!$A:$A,0)))</f>
        <v>250mL</v>
      </c>
      <c r="E64" s="51" t="str">
        <f>IF(LEFT(F64,6)="Header","",INDEX('Pricing (Drugs) SS'!$D:$D,MATCH(F64,'Pricing (Drugs) SS'!$A:$A,0)))</f>
        <v>0338-1073-02</v>
      </c>
      <c r="F64" s="119">
        <v>1016380</v>
      </c>
      <c r="G64" s="214" t="str">
        <f>IF(LEFT(F64,6)="Header","",INDEX('Standard Cart Pricing Formulas'!$N:$N,MATCH(F64,'Standard Cart Pricing Formulas'!$F:$F,0)))</f>
        <v/>
      </c>
      <c r="H64" s="269"/>
      <c r="I64" s="270"/>
      <c r="L64" s="16" t="str">
        <f>IF(O64="Header","",INDEX('Standard Cart Pricing Formulas'!$N:$N,MATCH(F64,'Standard Cart Pricing Formulas'!$F:$F,0)))</f>
        <v/>
      </c>
      <c r="M64" s="16" t="str">
        <f>IF(LEFT(F64,6)="Header","",INDEX('Standard Cart Pricing Formulas'!$M:$M,MATCH(F64,'Standard Cart Pricing Formulas'!$F:$F,0)))</f>
        <v/>
      </c>
      <c r="N64" s="262" cm="1">
        <f t="array" aca="1" ref="N64" ca="1">CELL("protect",A64)</f>
        <v>0</v>
      </c>
      <c r="O64" s="262" t="str">
        <f t="shared" si="2"/>
        <v>101638</v>
      </c>
      <c r="P64" s="262" t="str">
        <f t="shared" ca="1" si="1"/>
        <v>Good</v>
      </c>
      <c r="Q64" s="262" t="str">
        <f>IF(O64="header","",INDEX('Standard Cart Pricing Formulas'!$O:$O,MATCH(F64,'Standard Cart Pricing Formulas'!$F:$F,0)))</f>
        <v/>
      </c>
    </row>
    <row r="65" spans="1:17" ht="15" customHeight="1" x14ac:dyDescent="0.25">
      <c r="A65" s="48"/>
      <c r="B65" s="49" t="str">
        <f>INDEX('Pricing (Drugs) SS'!$B:$B,MATCH(F65,'Pricing (Drugs) SS'!$A:$A,0))</f>
        <v>DOBUTAMINE IN 5% DEXTROSE INJECTION, USP 500mg 250mL BAG</v>
      </c>
      <c r="C65" s="50" t="str">
        <f>IF(LEFT(F65,6)="Header","",INDEX('Pricing (Drugs) SS'!$E:$E,MATCH(F65,'Pricing (Drugs) SS'!$A:$A,0)))</f>
        <v>2,000mcg/mL</v>
      </c>
      <c r="D65" s="49" t="str">
        <f>IF(LEFT(F65,6)="Header","",INDEX('Pricing (Drugs) SS'!$F:$F,MATCH(F65,'Pricing (Drugs) SS'!$A:$A,0)))</f>
        <v>250mL</v>
      </c>
      <c r="E65" s="51" t="str">
        <f>IF(LEFT(F65,6)="Header","",INDEX('Pricing (Drugs) SS'!$D:$D,MATCH(F65,'Pricing (Drugs) SS'!$A:$A,0)))</f>
        <v>0409-2347-32</v>
      </c>
      <c r="F65" s="119">
        <v>1010010</v>
      </c>
      <c r="G65" s="214" t="str">
        <f>IF(LEFT(F65,6)="Header","",INDEX('Standard Cart Pricing Formulas'!$N:$N,MATCH(F65,'Standard Cart Pricing Formulas'!$F:$F,0)))</f>
        <v/>
      </c>
      <c r="H65" s="269"/>
      <c r="I65" s="270"/>
      <c r="L65" s="16" t="str">
        <f>IF(O65="Header","",INDEX('Standard Cart Pricing Formulas'!$N:$N,MATCH(F65,'Standard Cart Pricing Formulas'!$F:$F,0)))</f>
        <v/>
      </c>
      <c r="M65" s="16" t="str">
        <f>IF(LEFT(F65,6)="Header","",INDEX('Standard Cart Pricing Formulas'!$M:$M,MATCH(F65,'Standard Cart Pricing Formulas'!$F:$F,0)))</f>
        <v/>
      </c>
      <c r="N65" s="262" cm="1">
        <f t="array" aca="1" ref="N65" ca="1">CELL("protect",A65)</f>
        <v>0</v>
      </c>
      <c r="O65" s="262" t="str">
        <f t="shared" si="2"/>
        <v>101001</v>
      </c>
      <c r="P65" s="262" t="str">
        <f t="shared" ca="1" si="1"/>
        <v>Good</v>
      </c>
      <c r="Q65" s="262" t="str">
        <f>IF(O65="header","",INDEX('Standard Cart Pricing Formulas'!$O:$O,MATCH(F65,'Standard Cart Pricing Formulas'!$F:$F,0)))</f>
        <v/>
      </c>
    </row>
    <row r="66" spans="1:17" ht="15" customHeight="1" x14ac:dyDescent="0.25">
      <c r="A66" s="118"/>
      <c r="B66" s="49" t="str">
        <f>INDEX('Pricing (Drugs) SS'!$B:$B,MATCH(F66,'Pricing (Drugs) SS'!$A:$A,0))</f>
        <v>DOPAMINE</v>
      </c>
      <c r="C66" s="50" t="str">
        <f>IF(LEFT(F66,6)="Header","",INDEX('Pricing (Drugs) SS'!$E:$E,MATCH(F66,'Pricing (Drugs) SS'!$A:$A,0)))</f>
        <v/>
      </c>
      <c r="D66" s="49" t="str">
        <f>IF(LEFT(F66,6)="Header","",INDEX('Pricing (Drugs) SS'!$F:$F,MATCH(F66,'Pricing (Drugs) SS'!$A:$A,0)))</f>
        <v/>
      </c>
      <c r="E66" s="51" t="str">
        <f>IF(LEFT(F66,6)="Header","",INDEX('Pricing (Drugs) SS'!$D:$D,MATCH(F66,'Pricing (Drugs) SS'!$A:$A,0)))</f>
        <v/>
      </c>
      <c r="F66" s="119" t="s">
        <v>1554</v>
      </c>
      <c r="G66" s="214" t="str">
        <f>IF(LEFT(F66,6)="Header","",INDEX('Standard Cart Pricing Formulas'!$N:$N,MATCH(F66,'Standard Cart Pricing Formulas'!$F:$F,0)))</f>
        <v/>
      </c>
      <c r="H66" s="51"/>
      <c r="I66" s="272"/>
      <c r="L66" s="16" t="str">
        <f>IF(O66="Header","",INDEX('Standard Cart Pricing Formulas'!$N:$N,MATCH(F66,'Standard Cart Pricing Formulas'!$F:$F,0)))</f>
        <v/>
      </c>
      <c r="M66" s="16" t="str">
        <f>IF(LEFT(F66,6)="Header","",INDEX('Standard Cart Pricing Formulas'!$M:$M,MATCH(F66,'Standard Cart Pricing Formulas'!$F:$F,0)))</f>
        <v/>
      </c>
      <c r="N66" s="262" cm="1">
        <f t="array" aca="1" ref="N66" ca="1">CELL("protect",A66)</f>
        <v>1</v>
      </c>
      <c r="O66" s="262" t="str">
        <f t="shared" si="2"/>
        <v>HEADER</v>
      </c>
      <c r="P66" s="262" t="str">
        <f t="shared" ca="1" si="1"/>
        <v>Good</v>
      </c>
      <c r="Q66" s="262" t="str">
        <f>IF(O66="header","",INDEX('Standard Cart Pricing Formulas'!$O:$O,MATCH(F66,'Standard Cart Pricing Formulas'!$F:$F,0)))</f>
        <v/>
      </c>
    </row>
    <row r="67" spans="1:17" ht="15" customHeight="1" x14ac:dyDescent="0.25">
      <c r="A67" s="48"/>
      <c r="B67" s="49" t="str">
        <f>INDEX('Pricing (Drugs) SS'!$B:$B,MATCH(F67,'Pricing (Drugs) SS'!$A:$A,0))</f>
        <v>DOPAMINE HCI INJ., USP 200mg (40 mg/mL) 5mL VIAL</v>
      </c>
      <c r="C67" s="50" t="str">
        <f>IF(LEFT(F67,6)="Header","",INDEX('Pricing (Drugs) SS'!$E:$E,MATCH(F67,'Pricing (Drugs) SS'!$A:$A,0)))</f>
        <v>40mg/mL</v>
      </c>
      <c r="D67" s="49" t="str">
        <f>IF(LEFT(F67,6)="Header","",INDEX('Pricing (Drugs) SS'!$F:$F,MATCH(F67,'Pricing (Drugs) SS'!$A:$A,0)))</f>
        <v>5mL</v>
      </c>
      <c r="E67" s="51" t="str">
        <f>IF(LEFT(F67,6)="Header","",INDEX('Pricing (Drugs) SS'!$D:$D,MATCH(F67,'Pricing (Drugs) SS'!$A:$A,0)))</f>
        <v>0409-5820-01</v>
      </c>
      <c r="F67" s="119">
        <v>1007700</v>
      </c>
      <c r="G67" s="214" t="str">
        <f>IF(LEFT(F67,6)="Header","",INDEX('Standard Cart Pricing Formulas'!$N:$N,MATCH(F67,'Standard Cart Pricing Formulas'!$F:$F,0)))</f>
        <v/>
      </c>
      <c r="H67" s="269"/>
      <c r="I67" s="270"/>
      <c r="L67" s="16" t="str">
        <f>IF(O67="Header","",INDEX('Standard Cart Pricing Formulas'!$N:$N,MATCH(F67,'Standard Cart Pricing Formulas'!$F:$F,0)))</f>
        <v/>
      </c>
      <c r="M67" s="16" t="str">
        <f>IF(LEFT(F67,6)="Header","",INDEX('Standard Cart Pricing Formulas'!$M:$M,MATCH(F67,'Standard Cart Pricing Formulas'!$F:$F,0)))</f>
        <v/>
      </c>
      <c r="N67" s="262" cm="1">
        <f t="array" aca="1" ref="N67" ca="1">CELL("protect",A67)</f>
        <v>0</v>
      </c>
      <c r="O67" s="262" t="str">
        <f t="shared" si="2"/>
        <v>100770</v>
      </c>
      <c r="P67" s="262" t="str">
        <f t="shared" ca="1" si="1"/>
        <v>Good</v>
      </c>
      <c r="Q67" s="262" t="str">
        <f>IF(O67="header","",INDEX('Standard Cart Pricing Formulas'!$O:$O,MATCH(F67,'Standard Cart Pricing Formulas'!$F:$F,0)))</f>
        <v/>
      </c>
    </row>
    <row r="68" spans="1:17" ht="15" customHeight="1" x14ac:dyDescent="0.25">
      <c r="A68" s="48"/>
      <c r="B68" s="49" t="str">
        <f>INDEX('Pricing (Drugs) SS'!$B:$B,MATCH(F68,'Pricing (Drugs) SS'!$A:$A,0))</f>
        <v>DOPAMINE HCI INJ., USP 400mg (40mg/mL) 10mL VIAL</v>
      </c>
      <c r="C68" s="50" t="str">
        <f>IF(LEFT(F68,6)="Header","",INDEX('Pricing (Drugs) SS'!$E:$E,MATCH(F68,'Pricing (Drugs) SS'!$A:$A,0)))</f>
        <v>40mg/mL</v>
      </c>
      <c r="D68" s="49" t="str">
        <f>IF(LEFT(F68,6)="Header","",INDEX('Pricing (Drugs) SS'!$F:$F,MATCH(F68,'Pricing (Drugs) SS'!$A:$A,0)))</f>
        <v>10mL</v>
      </c>
      <c r="E68" s="51" t="str">
        <f>IF(LEFT(F68,6)="Header","",INDEX('Pricing (Drugs) SS'!$D:$D,MATCH(F68,'Pricing (Drugs) SS'!$A:$A,0)))</f>
        <v>0409-9104-20</v>
      </c>
      <c r="F68" s="119">
        <v>1000210</v>
      </c>
      <c r="G68" s="214" t="str">
        <f>IF(LEFT(F68,6)="Header","",INDEX('Standard Cart Pricing Formulas'!$N:$N,MATCH(F68,'Standard Cart Pricing Formulas'!$F:$F,0)))</f>
        <v/>
      </c>
      <c r="H68" s="269"/>
      <c r="I68" s="270"/>
      <c r="L68" s="16" t="str">
        <f>IF(O68="Header","",INDEX('Standard Cart Pricing Formulas'!$N:$N,MATCH(F68,'Standard Cart Pricing Formulas'!$F:$F,0)))</f>
        <v/>
      </c>
      <c r="M68" s="16" t="str">
        <f>IF(LEFT(F68,6)="Header","",INDEX('Standard Cart Pricing Formulas'!$M:$M,MATCH(F68,'Standard Cart Pricing Formulas'!$F:$F,0)))</f>
        <v/>
      </c>
      <c r="N68" s="262" cm="1">
        <f t="array" aca="1" ref="N68" ca="1">CELL("protect",A68)</f>
        <v>0</v>
      </c>
      <c r="O68" s="262" t="str">
        <f t="shared" si="2"/>
        <v>100021</v>
      </c>
      <c r="P68" s="262" t="str">
        <f t="shared" ca="1" si="1"/>
        <v>Good</v>
      </c>
      <c r="Q68" s="262" t="str">
        <f>IF(O68="header","",INDEX('Standard Cart Pricing Formulas'!$O:$O,MATCH(F68,'Standard Cart Pricing Formulas'!$F:$F,0)))</f>
        <v/>
      </c>
    </row>
    <row r="69" spans="1:17" ht="15" customHeight="1" x14ac:dyDescent="0.25">
      <c r="A69" s="48"/>
      <c r="B69" s="49" t="str">
        <f>INDEX('Pricing (Drugs) SS'!$B:$B,MATCH(F69,'Pricing (Drugs) SS'!$A:$A,0))</f>
        <v>DOPAMINE HYDROCHLORIDE INJECTION, USP 400mg/10mL (40mg/mL) 10mL VIAL</v>
      </c>
      <c r="C69" s="50" t="str">
        <f>IF(LEFT(F69,6)="Header","",INDEX('Pricing (Drugs) SS'!$E:$E,MATCH(F69,'Pricing (Drugs) SS'!$A:$A,0)))</f>
        <v>40mg/mL</v>
      </c>
      <c r="D69" s="49" t="str">
        <f>IF(LEFT(F69,6)="Header","",INDEX('Pricing (Drugs) SS'!$F:$F,MATCH(F69,'Pricing (Drugs) SS'!$A:$A,0)))</f>
        <v>10mL</v>
      </c>
      <c r="E69" s="51" t="str">
        <f>IF(LEFT(F69,6)="Header","",INDEX('Pricing (Drugs) SS'!$D:$D,MATCH(F69,'Pricing (Drugs) SS'!$A:$A,0)))</f>
        <v>0143-9254-25</v>
      </c>
      <c r="F69" s="119">
        <v>1013490</v>
      </c>
      <c r="G69" s="214" t="str">
        <f>IF(LEFT(F69,6)="Header","",INDEX('Standard Cart Pricing Formulas'!$N:$N,MATCH(F69,'Standard Cart Pricing Formulas'!$F:$F,0)))</f>
        <v/>
      </c>
      <c r="H69" s="269"/>
      <c r="I69" s="270"/>
      <c r="L69" s="16" t="str">
        <f>IF(O69="Header","",INDEX('Standard Cart Pricing Formulas'!$N:$N,MATCH(F69,'Standard Cart Pricing Formulas'!$F:$F,0)))</f>
        <v/>
      </c>
      <c r="M69" s="16" t="str">
        <f>IF(LEFT(F69,6)="Header","",INDEX('Standard Cart Pricing Formulas'!$M:$M,MATCH(F69,'Standard Cart Pricing Formulas'!$F:$F,0)))</f>
        <v/>
      </c>
      <c r="N69" s="262" cm="1">
        <f t="array" aca="1" ref="N69" ca="1">CELL("protect",A69)</f>
        <v>0</v>
      </c>
      <c r="O69" s="262" t="str">
        <f t="shared" si="2"/>
        <v>101349</v>
      </c>
      <c r="P69" s="262" t="str">
        <f t="shared" ca="1" si="1"/>
        <v>Good</v>
      </c>
      <c r="Q69" s="262" t="str">
        <f>IF(O69="header","",INDEX('Standard Cart Pricing Formulas'!$O:$O,MATCH(F69,'Standard Cart Pricing Formulas'!$F:$F,0)))</f>
        <v/>
      </c>
    </row>
    <row r="70" spans="1:17" ht="15" customHeight="1" x14ac:dyDescent="0.25">
      <c r="A70" s="48"/>
      <c r="B70" s="49" t="str">
        <f>INDEX('Pricing (Drugs) SS'!$B:$B,MATCH(F70,'Pricing (Drugs) SS'!$A:$A,0))</f>
        <v>DOPAMINE HYDROCHLORIDE IN 5% DEXTROSE INJECTION, USP 400mg 250mL BAG</v>
      </c>
      <c r="C70" s="50" t="str">
        <f>IF(LEFT(F70,6)="Header","",INDEX('Pricing (Drugs) SS'!$E:$E,MATCH(F70,'Pricing (Drugs) SS'!$A:$A,0)))</f>
        <v>400mg</v>
      </c>
      <c r="D70" s="49" t="str">
        <f>IF(LEFT(F70,6)="Header","",INDEX('Pricing (Drugs) SS'!$F:$F,MATCH(F70,'Pricing (Drugs) SS'!$A:$A,0)))</f>
        <v>250mL</v>
      </c>
      <c r="E70" s="51" t="str">
        <f>IF(LEFT(F70,6)="Header","",INDEX('Pricing (Drugs) SS'!$D:$D,MATCH(F70,'Pricing (Drugs) SS'!$A:$A,0)))</f>
        <v>0409-7809-22</v>
      </c>
      <c r="F70" s="119">
        <v>1009740</v>
      </c>
      <c r="G70" s="214" t="str">
        <f>IF(LEFT(F70,6)="Header","",INDEX('Standard Cart Pricing Formulas'!$N:$N,MATCH(F70,'Standard Cart Pricing Formulas'!$F:$F,0)))</f>
        <v/>
      </c>
      <c r="H70" s="269"/>
      <c r="I70" s="270"/>
      <c r="L70" s="16" t="str">
        <f>IF(O70="Header","",INDEX('Standard Cart Pricing Formulas'!$N:$N,MATCH(F70,'Standard Cart Pricing Formulas'!$F:$F,0)))</f>
        <v/>
      </c>
      <c r="M70" s="16" t="str">
        <f>IF(LEFT(F70,6)="Header","",INDEX('Standard Cart Pricing Formulas'!$M:$M,MATCH(F70,'Standard Cart Pricing Formulas'!$F:$F,0)))</f>
        <v/>
      </c>
      <c r="N70" s="262" cm="1">
        <f t="array" aca="1" ref="N70" ca="1">CELL("protect",A70)</f>
        <v>0</v>
      </c>
      <c r="O70" s="262" t="str">
        <f t="shared" si="2"/>
        <v>100974</v>
      </c>
      <c r="P70" s="262" t="str">
        <f t="shared" ca="1" si="1"/>
        <v>Good</v>
      </c>
      <c r="Q70" s="262" t="str">
        <f>IF(O70="header","",INDEX('Standard Cart Pricing Formulas'!$O:$O,MATCH(F70,'Standard Cart Pricing Formulas'!$F:$F,0)))</f>
        <v/>
      </c>
    </row>
    <row r="71" spans="1:17" s="265" customFormat="1" ht="15" customHeight="1" x14ac:dyDescent="0.25">
      <c r="A71" s="48"/>
      <c r="B71" s="49" t="str">
        <f>INDEX('Pricing (Drugs) SS'!$B:$B,MATCH(F71,'Pricing (Drugs) SS'!$A:$A,0))</f>
        <v>DOPAMINE HCI IN 5% DEXTROSE INJECTION, USP 800mg/500mL (1,600mcg/mL) 500mL BAG</v>
      </c>
      <c r="C71" s="50" t="str">
        <f>IF(LEFT(F71,6)="Header","",INDEX('Pricing (Drugs) SS'!$E:$E,MATCH(F71,'Pricing (Drugs) SS'!$A:$A,0)))</f>
        <v>1600mcg/mL</v>
      </c>
      <c r="D71" s="49" t="str">
        <f>IF(LEFT(F71,6)="Header","",INDEX('Pricing (Drugs) SS'!$F:$F,MATCH(F71,'Pricing (Drugs) SS'!$A:$A,0)))</f>
        <v>500mL</v>
      </c>
      <c r="E71" s="51" t="str">
        <f>IF(LEFT(F71,6)="Header","",INDEX('Pricing (Drugs) SS'!$D:$D,MATCH(F71,'Pricing (Drugs) SS'!$A:$A,0)))</f>
        <v>0409-7809-24</v>
      </c>
      <c r="F71" s="119">
        <v>1012780</v>
      </c>
      <c r="G71" s="214" t="str">
        <f>IF(LEFT(F71,6)="Header","",INDEX('Standard Cart Pricing Formulas'!$N:$N,MATCH(F71,'Standard Cart Pricing Formulas'!$F:$F,0)))</f>
        <v/>
      </c>
      <c r="H71" s="269"/>
      <c r="I71" s="270"/>
      <c r="L71" s="16" t="str">
        <f>IF(O71="Header","",INDEX('Standard Cart Pricing Formulas'!$N:$N,MATCH(F71,'Standard Cart Pricing Formulas'!$F:$F,0)))</f>
        <v/>
      </c>
      <c r="M71" s="16" t="str">
        <f>IF(LEFT(F71,6)="Header","",INDEX('Standard Cart Pricing Formulas'!$M:$M,MATCH(F71,'Standard Cart Pricing Formulas'!$F:$F,0)))</f>
        <v/>
      </c>
      <c r="N71" s="262" cm="1">
        <f t="array" aca="1" ref="N71" ca="1">CELL("protect",A71)</f>
        <v>0</v>
      </c>
      <c r="O71" s="262" t="str">
        <f t="shared" si="2"/>
        <v>101278</v>
      </c>
      <c r="P71" s="262" t="str">
        <f t="shared" ca="1" si="1"/>
        <v>Good</v>
      </c>
      <c r="Q71" s="262" t="str">
        <f>IF(O71="header","",INDEX('Standard Cart Pricing Formulas'!$O:$O,MATCH(F71,'Standard Cart Pricing Formulas'!$F:$F,0)))</f>
        <v/>
      </c>
    </row>
    <row r="72" spans="1:17" ht="15" customHeight="1" x14ac:dyDescent="0.25">
      <c r="A72" s="118"/>
      <c r="B72" s="49" t="str">
        <f>INDEX('Pricing (Drugs) SS'!$B:$B,MATCH(F72,'Pricing (Drugs) SS'!$A:$A,0))</f>
        <v>DOXYCYCLINE</v>
      </c>
      <c r="C72" s="50" t="str">
        <f>IF(LEFT(F72,6)="Header","",INDEX('Pricing (Drugs) SS'!$E:$E,MATCH(F72,'Pricing (Drugs) SS'!$A:$A,0)))</f>
        <v/>
      </c>
      <c r="D72" s="49" t="str">
        <f>IF(LEFT(F72,6)="Header","",INDEX('Pricing (Drugs) SS'!$F:$F,MATCH(F72,'Pricing (Drugs) SS'!$A:$A,0)))</f>
        <v/>
      </c>
      <c r="E72" s="51" t="str">
        <f>IF(LEFT(F72,6)="Header","",INDEX('Pricing (Drugs) SS'!$D:$D,MATCH(F72,'Pricing (Drugs) SS'!$A:$A,0)))</f>
        <v/>
      </c>
      <c r="F72" s="119" t="s">
        <v>1555</v>
      </c>
      <c r="G72" s="214" t="str">
        <f>IF(LEFT(F72,6)="Header","",INDEX('Standard Cart Pricing Formulas'!$N:$N,MATCH(F72,'Standard Cart Pricing Formulas'!$F:$F,0)))</f>
        <v/>
      </c>
      <c r="H72" s="51"/>
      <c r="I72" s="272"/>
      <c r="L72" s="16" t="str">
        <f>IF(O72="Header","",INDEX('Standard Cart Pricing Formulas'!$N:$N,MATCH(F72,'Standard Cart Pricing Formulas'!$F:$F,0)))</f>
        <v/>
      </c>
      <c r="M72" s="16" t="str">
        <f>IF(LEFT(F72,6)="Header","",INDEX('Standard Cart Pricing Formulas'!$M:$M,MATCH(F72,'Standard Cart Pricing Formulas'!$F:$F,0)))</f>
        <v/>
      </c>
      <c r="N72" s="262" cm="1">
        <f t="array" aca="1" ref="N72" ca="1">CELL("protect",A72)</f>
        <v>1</v>
      </c>
      <c r="O72" s="262" t="str">
        <f t="shared" si="2"/>
        <v>HEADER</v>
      </c>
      <c r="P72" s="262" t="str">
        <f t="shared" ca="1" si="1"/>
        <v>Good</v>
      </c>
      <c r="Q72" s="262" t="str">
        <f>IF(O72="header","",INDEX('Standard Cart Pricing Formulas'!$O:$O,MATCH(F72,'Standard Cart Pricing Formulas'!$F:$F,0)))</f>
        <v/>
      </c>
    </row>
    <row r="73" spans="1:17" ht="15" customHeight="1" x14ac:dyDescent="0.25">
      <c r="A73" s="48"/>
      <c r="B73" s="49" t="str">
        <f>INDEX('Pricing (Drugs) SS'!$B:$B,MATCH(F73,'Pricing (Drugs) SS'!$A:$A,0))</f>
        <v>DOXY 100™ DOXYCYCLINE FOR INJECTION, USP 100mg per VIAL 20mL VIAL</v>
      </c>
      <c r="C73" s="50" t="str">
        <f>IF(LEFT(F73,6)="Header","",INDEX('Pricing (Drugs) SS'!$E:$E,MATCH(F73,'Pricing (Drugs) SS'!$A:$A,0)))</f>
        <v>100mg</v>
      </c>
      <c r="D73" s="49" t="str">
        <f>IF(LEFT(F73,6)="Header","",INDEX('Pricing (Drugs) SS'!$F:$F,MATCH(F73,'Pricing (Drugs) SS'!$A:$A,0)))</f>
        <v>20mL</v>
      </c>
      <c r="E73" s="51" t="str">
        <f>IF(LEFT(F73,6)="Header","",INDEX('Pricing (Drugs) SS'!$D:$D,MATCH(F73,'Pricing (Drugs) SS'!$A:$A,0)))</f>
        <v>63323-130-11</v>
      </c>
      <c r="F73" s="119">
        <v>1011980</v>
      </c>
      <c r="G73" s="214" t="str">
        <f>IF(LEFT(F73,6)="Header","",INDEX('Standard Cart Pricing Formulas'!$N:$N,MATCH(F73,'Standard Cart Pricing Formulas'!$F:$F,0)))</f>
        <v/>
      </c>
      <c r="H73" s="269"/>
      <c r="I73" s="270"/>
      <c r="L73" s="16" t="str">
        <f>IF(O73="Header","",INDEX('Standard Cart Pricing Formulas'!$N:$N,MATCH(F73,'Standard Cart Pricing Formulas'!$F:$F,0)))</f>
        <v/>
      </c>
      <c r="M73" s="16" t="str">
        <f>IF(LEFT(F73,6)="Header","",INDEX('Standard Cart Pricing Formulas'!$M:$M,MATCH(F73,'Standard Cart Pricing Formulas'!$F:$F,0)))</f>
        <v/>
      </c>
      <c r="N73" s="262" cm="1">
        <f t="array" aca="1" ref="N73" ca="1">CELL("protect",A73)</f>
        <v>0</v>
      </c>
      <c r="O73" s="262" t="str">
        <f t="shared" si="2"/>
        <v>101198</v>
      </c>
      <c r="P73" s="262" t="str">
        <f t="shared" ca="1" si="1"/>
        <v>Good</v>
      </c>
      <c r="Q73" s="262" t="str">
        <f>IF(O73="header","",INDEX('Standard Cart Pricing Formulas'!$O:$O,MATCH(F73,'Standard Cart Pricing Formulas'!$F:$F,0)))</f>
        <v/>
      </c>
    </row>
    <row r="74" spans="1:17" ht="15" customHeight="1" x14ac:dyDescent="0.25">
      <c r="A74" s="118"/>
      <c r="B74" s="49" t="str">
        <f>INDEX('Pricing (Drugs) SS'!$B:$B,MATCH(F74,'Pricing (Drugs) SS'!$A:$A,0))</f>
        <v>ENALAPRILAT</v>
      </c>
      <c r="C74" s="50" t="str">
        <f>IF(LEFT(F74,6)="Header","",INDEX('Pricing (Drugs) SS'!$E:$E,MATCH(F74,'Pricing (Drugs) SS'!$A:$A,0)))</f>
        <v/>
      </c>
      <c r="D74" s="49" t="str">
        <f>IF(LEFT(F74,6)="Header","",INDEX('Pricing (Drugs) SS'!$F:$F,MATCH(F74,'Pricing (Drugs) SS'!$A:$A,0)))</f>
        <v/>
      </c>
      <c r="E74" s="51" t="str">
        <f>IF(LEFT(F74,6)="Header","",INDEX('Pricing (Drugs) SS'!$D:$D,MATCH(F74,'Pricing (Drugs) SS'!$A:$A,0)))</f>
        <v/>
      </c>
      <c r="F74" s="119" t="s">
        <v>1556</v>
      </c>
      <c r="G74" s="214" t="str">
        <f>IF(LEFT(F74,6)="Header","",INDEX('Standard Cart Pricing Formulas'!$N:$N,MATCH(F74,'Standard Cart Pricing Formulas'!$F:$F,0)))</f>
        <v/>
      </c>
      <c r="H74" s="51"/>
      <c r="I74" s="272"/>
      <c r="L74" s="16" t="str">
        <f>IF(O74="Header","",INDEX('Standard Cart Pricing Formulas'!$N:$N,MATCH(F74,'Standard Cart Pricing Formulas'!$F:$F,0)))</f>
        <v/>
      </c>
      <c r="M74" s="16" t="str">
        <f>IF(LEFT(F74,6)="Header","",INDEX('Standard Cart Pricing Formulas'!$M:$M,MATCH(F74,'Standard Cart Pricing Formulas'!$F:$F,0)))</f>
        <v/>
      </c>
      <c r="N74" s="262" cm="1">
        <f t="array" aca="1" ref="N74" ca="1">CELL("protect",A74)</f>
        <v>1</v>
      </c>
      <c r="O74" s="262" t="str">
        <f t="shared" si="2"/>
        <v>HEADER</v>
      </c>
      <c r="P74" s="262" t="str">
        <f t="shared" ca="1" si="1"/>
        <v>Good</v>
      </c>
      <c r="Q74" s="262" t="str">
        <f>IF(O74="header","",INDEX('Standard Cart Pricing Formulas'!$O:$O,MATCH(F74,'Standard Cart Pricing Formulas'!$F:$F,0)))</f>
        <v/>
      </c>
    </row>
    <row r="75" spans="1:17" ht="15" customHeight="1" x14ac:dyDescent="0.25">
      <c r="A75" s="48"/>
      <c r="B75" s="49" t="str">
        <f>INDEX('Pricing (Drugs) SS'!$B:$B,MATCH(F75,'Pricing (Drugs) SS'!$A:$A,0))</f>
        <v>ENALAPRILAT INJECTION 1.25mg/mL 1mL VIAL</v>
      </c>
      <c r="C75" s="50" t="str">
        <f>IF(LEFT(F75,6)="Header","",INDEX('Pricing (Drugs) SS'!$E:$E,MATCH(F75,'Pricing (Drugs) SS'!$A:$A,0)))</f>
        <v>1.25mg/mL</v>
      </c>
      <c r="D75" s="49" t="str">
        <f>IF(LEFT(F75,6)="Header","",INDEX('Pricing (Drugs) SS'!$F:$F,MATCH(F75,'Pricing (Drugs) SS'!$A:$A,0)))</f>
        <v>1mL</v>
      </c>
      <c r="E75" s="51" t="str">
        <f>IF(LEFT(F75,6)="Header","",INDEX('Pricing (Drugs) SS'!$D:$D,MATCH(F75,'Pricing (Drugs) SS'!$A:$A,0)))</f>
        <v>0143-9787-10</v>
      </c>
      <c r="F75" s="119">
        <v>1012970</v>
      </c>
      <c r="G75" s="214" t="str">
        <f>IF(LEFT(F75,6)="Header","",INDEX('Standard Cart Pricing Formulas'!$N:$N,MATCH(F75,'Standard Cart Pricing Formulas'!$F:$F,0)))</f>
        <v/>
      </c>
      <c r="H75" s="269"/>
      <c r="I75" s="270"/>
      <c r="L75" s="16" t="str">
        <f>IF(O75="Header","",INDEX('Standard Cart Pricing Formulas'!$N:$N,MATCH(F75,'Standard Cart Pricing Formulas'!$F:$F,0)))</f>
        <v/>
      </c>
      <c r="M75" s="16" t="str">
        <f>IF(LEFT(F75,6)="Header","",INDEX('Standard Cart Pricing Formulas'!$M:$M,MATCH(F75,'Standard Cart Pricing Formulas'!$F:$F,0)))</f>
        <v/>
      </c>
      <c r="N75" s="262" cm="1">
        <f t="array" aca="1" ref="N75" ca="1">CELL("protect",A75)</f>
        <v>0</v>
      </c>
      <c r="O75" s="262" t="str">
        <f t="shared" si="2"/>
        <v>101297</v>
      </c>
      <c r="P75" s="262" t="str">
        <f t="shared" ca="1" si="1"/>
        <v>Good</v>
      </c>
      <c r="Q75" s="262" t="str">
        <f>IF(O75="header","",INDEX('Standard Cart Pricing Formulas'!$O:$O,MATCH(F75,'Standard Cart Pricing Formulas'!$F:$F,0)))</f>
        <v/>
      </c>
    </row>
    <row r="76" spans="1:17" ht="15" customHeight="1" x14ac:dyDescent="0.25">
      <c r="A76" s="118"/>
      <c r="B76" s="49" t="str">
        <f>INDEX('Pricing (Drugs) SS'!$B:$B,MATCH(F76,'Pricing (Drugs) SS'!$A:$A,0))</f>
        <v>EPHEDRINE</v>
      </c>
      <c r="C76" s="50" t="str">
        <f>IF(LEFT(F76,6)="Header","",INDEX('Pricing (Drugs) SS'!$E:$E,MATCH(F76,'Pricing (Drugs) SS'!$A:$A,0)))</f>
        <v/>
      </c>
      <c r="D76" s="49" t="str">
        <f>IF(LEFT(F76,6)="Header","",INDEX('Pricing (Drugs) SS'!$F:$F,MATCH(F76,'Pricing (Drugs) SS'!$A:$A,0)))</f>
        <v/>
      </c>
      <c r="E76" s="51" t="str">
        <f>IF(LEFT(F76,6)="Header","",INDEX('Pricing (Drugs) SS'!$D:$D,MATCH(F76,'Pricing (Drugs) SS'!$A:$A,0)))</f>
        <v/>
      </c>
      <c r="F76" s="119" t="s">
        <v>1557</v>
      </c>
      <c r="G76" s="214" t="str">
        <f>IF(LEFT(F76,6)="Header","",INDEX('Standard Cart Pricing Formulas'!$N:$N,MATCH(F76,'Standard Cart Pricing Formulas'!$F:$F,0)))</f>
        <v/>
      </c>
      <c r="H76" s="51"/>
      <c r="I76" s="272"/>
      <c r="L76" s="16" t="str">
        <f>IF(O76="Header","",INDEX('Standard Cart Pricing Formulas'!$N:$N,MATCH(F76,'Standard Cart Pricing Formulas'!$F:$F,0)))</f>
        <v/>
      </c>
      <c r="M76" s="16" t="str">
        <f>IF(LEFT(F76,6)="Header","",INDEX('Standard Cart Pricing Formulas'!$M:$M,MATCH(F76,'Standard Cart Pricing Formulas'!$F:$F,0)))</f>
        <v/>
      </c>
      <c r="N76" s="262" cm="1">
        <f t="array" aca="1" ref="N76" ca="1">CELL("protect",A76)</f>
        <v>1</v>
      </c>
      <c r="O76" s="262" t="str">
        <f t="shared" ref="O76:O107" si="3">LEFT(F76,6)</f>
        <v>HEADER</v>
      </c>
      <c r="P76" s="262" t="str">
        <f t="shared" ca="1" si="1"/>
        <v>Good</v>
      </c>
      <c r="Q76" s="262" t="str">
        <f>IF(O76="header","",INDEX('Standard Cart Pricing Formulas'!$O:$O,MATCH(F76,'Standard Cart Pricing Formulas'!$F:$F,0)))</f>
        <v/>
      </c>
    </row>
    <row r="77" spans="1:17" ht="15" customHeight="1" x14ac:dyDescent="0.25">
      <c r="A77" s="48"/>
      <c r="B77" s="49" t="str">
        <f>INDEX('Pricing (Drugs) SS'!$B:$B,MATCH(F77,'Pricing (Drugs) SS'!$A:$A,0))</f>
        <v>EPHEDRINE SULFATE INJECTIONS, USP 50 mg/mL 1mL VIAL</v>
      </c>
      <c r="C77" s="50" t="str">
        <f>IF(LEFT(F77,6)="Header","",INDEX('Pricing (Drugs) SS'!$E:$E,MATCH(F77,'Pricing (Drugs) SS'!$A:$A,0)))</f>
        <v>50 mg/mL</v>
      </c>
      <c r="D77" s="49" t="str">
        <f>IF(LEFT(F77,6)="Header","",INDEX('Pricing (Drugs) SS'!$F:$F,MATCH(F77,'Pricing (Drugs) SS'!$A:$A,0)))</f>
        <v>1mL</v>
      </c>
      <c r="E77" s="51" t="str">
        <f>IF(LEFT(F77,6)="Header","",INDEX('Pricing (Drugs) SS'!$D:$D,MATCH(F77,'Pricing (Drugs) SS'!$A:$A,0)))</f>
        <v>42023-216-25</v>
      </c>
      <c r="F77" s="119">
        <v>1009960</v>
      </c>
      <c r="G77" s="214" t="str">
        <f>IF(LEFT(F77,6)="Header","",INDEX('Standard Cart Pricing Formulas'!$N:$N,MATCH(F77,'Standard Cart Pricing Formulas'!$F:$F,0)))</f>
        <v>X</v>
      </c>
      <c r="H77" s="269"/>
      <c r="I77" s="270"/>
      <c r="L77" s="16" t="str">
        <f>IF(O77="Header","",INDEX('Standard Cart Pricing Formulas'!$N:$N,MATCH(F77,'Standard Cart Pricing Formulas'!$F:$F,0)))</f>
        <v>X</v>
      </c>
      <c r="M77" s="16" t="str">
        <f>IF(LEFT(F77,6)="Header","",INDEX('Standard Cart Pricing Formulas'!$M:$M,MATCH(F77,'Standard Cart Pricing Formulas'!$F:$F,0)))</f>
        <v/>
      </c>
      <c r="N77" s="262" cm="1">
        <f t="array" aca="1" ref="N77" ca="1">CELL("protect",A77)</f>
        <v>0</v>
      </c>
      <c r="O77" s="262" t="str">
        <f t="shared" si="3"/>
        <v>100996</v>
      </c>
      <c r="P77" s="262" t="str">
        <f t="shared" ref="P77:P140" ca="1" si="4">IF(AND(N77=1,O77="header"),"Good",IF(AND(O77&lt;&gt;"Header",N77=0),"Good","Bad"))</f>
        <v>Good</v>
      </c>
      <c r="Q77" s="262" t="str">
        <f>IF(O77="header","",INDEX('Standard Cart Pricing Formulas'!$O:$O,MATCH(F77,'Standard Cart Pricing Formulas'!$F:$F,0)))</f>
        <v>X</v>
      </c>
    </row>
    <row r="78" spans="1:17" ht="15" customHeight="1" x14ac:dyDescent="0.25">
      <c r="A78" s="118"/>
      <c r="B78" s="49" t="str">
        <f>INDEX('Pricing (Drugs) SS'!$B:$B,MATCH(F78,'Pricing (Drugs) SS'!$A:$A,0))</f>
        <v>EPINEPHRINE</v>
      </c>
      <c r="C78" s="50" t="str">
        <f>IF(LEFT(F78,6)="Header","",INDEX('Pricing (Drugs) SS'!$E:$E,MATCH(F78,'Pricing (Drugs) SS'!$A:$A,0)))</f>
        <v/>
      </c>
      <c r="D78" s="49" t="str">
        <f>IF(LEFT(F78,6)="Header","",INDEX('Pricing (Drugs) SS'!$F:$F,MATCH(F78,'Pricing (Drugs) SS'!$A:$A,0)))</f>
        <v/>
      </c>
      <c r="E78" s="51" t="str">
        <f>IF(LEFT(F78,6)="Header","",INDEX('Pricing (Drugs) SS'!$D:$D,MATCH(F78,'Pricing (Drugs) SS'!$A:$A,0)))</f>
        <v/>
      </c>
      <c r="F78" s="119" t="s">
        <v>1558</v>
      </c>
      <c r="G78" s="214" t="str">
        <f>IF(LEFT(F78,6)="Header","",INDEX('Standard Cart Pricing Formulas'!$N:$N,MATCH(F78,'Standard Cart Pricing Formulas'!$F:$F,0)))</f>
        <v/>
      </c>
      <c r="H78" s="51"/>
      <c r="I78" s="272"/>
      <c r="L78" s="16" t="str">
        <f>IF(O78="Header","",INDEX('Standard Cart Pricing Formulas'!$N:$N,MATCH(F78,'Standard Cart Pricing Formulas'!$F:$F,0)))</f>
        <v/>
      </c>
      <c r="M78" s="16" t="str">
        <f>IF(LEFT(F78,6)="Header","",INDEX('Standard Cart Pricing Formulas'!$M:$M,MATCH(F78,'Standard Cart Pricing Formulas'!$F:$F,0)))</f>
        <v/>
      </c>
      <c r="N78" s="262" cm="1">
        <f t="array" aca="1" ref="N78" ca="1">CELL("protect",A78)</f>
        <v>1</v>
      </c>
      <c r="O78" s="262" t="str">
        <f t="shared" si="3"/>
        <v>HEADER</v>
      </c>
      <c r="P78" s="262" t="str">
        <f t="shared" ca="1" si="4"/>
        <v>Good</v>
      </c>
      <c r="Q78" s="262" t="str">
        <f>IF(O78="header","",INDEX('Standard Cart Pricing Formulas'!$O:$O,MATCH(F78,'Standard Cart Pricing Formulas'!$F:$F,0)))</f>
        <v/>
      </c>
    </row>
    <row r="79" spans="1:17" ht="15" customHeight="1" x14ac:dyDescent="0.25">
      <c r="A79" s="48"/>
      <c r="B79" s="49" t="str">
        <f>INDEX('Pricing (Drugs) SS'!$B:$B,MATCH(F79,'Pricing (Drugs) SS'!$A:$A,0))</f>
        <v>AUVI-Q® EPINEPHRINE INJECTION, USP 0.15mg AUTO INJECTOR</v>
      </c>
      <c r="C79" s="50" t="str">
        <f>IF(LEFT(F79,6)="Header","",INDEX('Pricing (Drugs) SS'!$E:$E,MATCH(F79,'Pricing (Drugs) SS'!$A:$A,0)))</f>
        <v>.15mg/.15mL</v>
      </c>
      <c r="D79" s="49" t="str">
        <f>IF(LEFT(F79,6)="Header","",INDEX('Pricing (Drugs) SS'!$F:$F,MATCH(F79,'Pricing (Drugs) SS'!$A:$A,0)))</f>
        <v>0.76mL</v>
      </c>
      <c r="E79" s="51" t="str">
        <f>IF(LEFT(F79,6)="Header","",INDEX('Pricing (Drugs) SS'!$D:$D,MATCH(F79,'Pricing (Drugs) SS'!$A:$A,0)))</f>
        <v>60842-022-02</v>
      </c>
      <c r="F79" s="119">
        <v>1023450</v>
      </c>
      <c r="G79" s="214" t="str">
        <f>IF(LEFT(F79,6)="Header","",INDEX('Standard Cart Pricing Formulas'!$N:$N,MATCH(F79,'Standard Cart Pricing Formulas'!$F:$F,0)))</f>
        <v/>
      </c>
      <c r="H79" s="269"/>
      <c r="I79" s="270"/>
      <c r="L79" s="16" t="str">
        <f>IF(O79="Header","",INDEX('Standard Cart Pricing Formulas'!$N:$N,MATCH(F79,'Standard Cart Pricing Formulas'!$F:$F,0)))</f>
        <v/>
      </c>
      <c r="M79" s="16" t="str">
        <f>IF(LEFT(F79,6)="Header","",INDEX('Standard Cart Pricing Formulas'!$M:$M,MATCH(F79,'Standard Cart Pricing Formulas'!$F:$F,0)))</f>
        <v/>
      </c>
      <c r="N79" s="262" cm="1">
        <f t="array" aca="1" ref="N79" ca="1">CELL("protect",A79)</f>
        <v>0</v>
      </c>
      <c r="O79" s="262" t="str">
        <f t="shared" si="3"/>
        <v>102345</v>
      </c>
      <c r="P79" s="262" t="str">
        <f t="shared" ca="1" si="4"/>
        <v>Good</v>
      </c>
      <c r="Q79" s="262" t="str">
        <f>IF(O79="header","",INDEX('Standard Cart Pricing Formulas'!$O:$O,MATCH(F79,'Standard Cart Pricing Formulas'!$F:$F,0)))</f>
        <v/>
      </c>
    </row>
    <row r="80" spans="1:17" ht="15" customHeight="1" x14ac:dyDescent="0.25">
      <c r="A80" s="48"/>
      <c r="B80" s="49" t="str">
        <f>INDEX('Pricing (Drugs) SS'!$B:$B,MATCH(F80,'Pricing (Drugs) SS'!$A:$A,0))</f>
        <v>AUVI-Q® EPINEPHRINE INJECTION, USP 0.3mg AUTO INJECTOR</v>
      </c>
      <c r="C80" s="50" t="str">
        <f>IF(LEFT(F80,6)="Header","",INDEX('Pricing (Drugs) SS'!$E:$E,MATCH(F80,'Pricing (Drugs) SS'!$A:$A,0)))</f>
        <v>.3mg/.3mL</v>
      </c>
      <c r="D80" s="49" t="str">
        <f>IF(LEFT(F80,6)="Header","",INDEX('Pricing (Drugs) SS'!$F:$F,MATCH(F80,'Pricing (Drugs) SS'!$A:$A,0)))</f>
        <v>0.76mL</v>
      </c>
      <c r="E80" s="51" t="str">
        <f>IF(LEFT(F80,6)="Header","",INDEX('Pricing (Drugs) SS'!$D:$D,MATCH(F80,'Pricing (Drugs) SS'!$A:$A,0)))</f>
        <v>60842-023-02</v>
      </c>
      <c r="F80" s="119">
        <v>1023460</v>
      </c>
      <c r="G80" s="214" t="str">
        <f>IF(LEFT(F80,6)="Header","",INDEX('Standard Cart Pricing Formulas'!$N:$N,MATCH(F80,'Standard Cart Pricing Formulas'!$F:$F,0)))</f>
        <v/>
      </c>
      <c r="H80" s="269"/>
      <c r="I80" s="270"/>
      <c r="L80" s="16" t="str">
        <f>IF(O80="Header","",INDEX('Standard Cart Pricing Formulas'!$N:$N,MATCH(F80,'Standard Cart Pricing Formulas'!$F:$F,0)))</f>
        <v/>
      </c>
      <c r="M80" s="16" t="str">
        <f>IF(LEFT(F80,6)="Header","",INDEX('Standard Cart Pricing Formulas'!$M:$M,MATCH(F80,'Standard Cart Pricing Formulas'!$F:$F,0)))</f>
        <v/>
      </c>
      <c r="N80" s="262" cm="1">
        <f t="array" aca="1" ref="N80" ca="1">CELL("protect",A80)</f>
        <v>0</v>
      </c>
      <c r="O80" s="262" t="str">
        <f t="shared" si="3"/>
        <v>102346</v>
      </c>
      <c r="P80" s="262" t="str">
        <f t="shared" ca="1" si="4"/>
        <v>Good</v>
      </c>
      <c r="Q80" s="262" t="str">
        <f>IF(O80="header","",INDEX('Standard Cart Pricing Formulas'!$O:$O,MATCH(F80,'Standard Cart Pricing Formulas'!$F:$F,0)))</f>
        <v/>
      </c>
    </row>
    <row r="81" spans="1:17" ht="15" customHeight="1" x14ac:dyDescent="0.25">
      <c r="A81" s="48"/>
      <c r="B81" s="49" t="str">
        <f>INDEX('Pricing (Drugs) SS'!$B:$B,MATCH(F81,'Pricing (Drugs) SS'!$A:$A,0))</f>
        <v>ADRENALIN® (EPINEPHRINE INJECTION, USP) 1mg/mL 1:1000 VIAL</v>
      </c>
      <c r="C81" s="50" t="str">
        <f>IF(LEFT(F81,6)="Header","",INDEX('Pricing (Drugs) SS'!$E:$E,MATCH(F81,'Pricing (Drugs) SS'!$A:$A,0)))</f>
        <v>1mg/mL 1:1000</v>
      </c>
      <c r="D81" s="49" t="str">
        <f>IF(LEFT(F81,6)="Header","",INDEX('Pricing (Drugs) SS'!$F:$F,MATCH(F81,'Pricing (Drugs) SS'!$A:$A,0)))</f>
        <v>1mL</v>
      </c>
      <c r="E81" s="51" t="str">
        <f>IF(LEFT(F81,6)="Header","",INDEX('Pricing (Drugs) SS'!$D:$D,MATCH(F81,'Pricing (Drugs) SS'!$A:$A,0)))</f>
        <v>42023-159-25</v>
      </c>
      <c r="F81" s="119">
        <v>1007670</v>
      </c>
      <c r="G81" s="214" t="str">
        <f>IF(LEFT(F81,6)="Header","",INDEX('Standard Cart Pricing Formulas'!$N:$N,MATCH(F81,'Standard Cart Pricing Formulas'!$F:$F,0)))</f>
        <v/>
      </c>
      <c r="H81" s="269"/>
      <c r="I81" s="270"/>
      <c r="L81" s="16" t="str">
        <f>IF(O81="Header","",INDEX('Standard Cart Pricing Formulas'!$N:$N,MATCH(F81,'Standard Cart Pricing Formulas'!$F:$F,0)))</f>
        <v/>
      </c>
      <c r="M81" s="16" t="str">
        <f>IF(LEFT(F81,6)="Header","",INDEX('Standard Cart Pricing Formulas'!$M:$M,MATCH(F81,'Standard Cart Pricing Formulas'!$F:$F,0)))</f>
        <v/>
      </c>
      <c r="N81" s="262" cm="1">
        <f t="array" aca="1" ref="N81" ca="1">CELL("protect",A81)</f>
        <v>0</v>
      </c>
      <c r="O81" s="262" t="str">
        <f t="shared" si="3"/>
        <v>100767</v>
      </c>
      <c r="P81" s="262" t="str">
        <f t="shared" ca="1" si="4"/>
        <v>Good</v>
      </c>
      <c r="Q81" s="262" t="str">
        <f>IF(O81="header","",INDEX('Standard Cart Pricing Formulas'!$O:$O,MATCH(F81,'Standard Cart Pricing Formulas'!$F:$F,0)))</f>
        <v/>
      </c>
    </row>
    <row r="82" spans="1:17" ht="15" customHeight="1" x14ac:dyDescent="0.25">
      <c r="A82" s="48"/>
      <c r="B82" s="49" t="str">
        <f>INDEX('Pricing (Drugs) SS'!$B:$B,MATCH(F82,'Pricing (Drugs) SS'!$A:$A,0))</f>
        <v>EPINEPHRINE INJ. USP, 0.1 mg/mL 1mg per 10mL LUER-JET™ SYR</v>
      </c>
      <c r="C82" s="50" t="str">
        <f>IF(LEFT(F82,6)="Header","",INDEX('Pricing (Drugs) SS'!$E:$E,MATCH(F82,'Pricing (Drugs) SS'!$A:$A,0)))</f>
        <v>0.1 mg/mL</v>
      </c>
      <c r="D82" s="49" t="str">
        <f>IF(LEFT(F82,6)="Header","",INDEX('Pricing (Drugs) SS'!$F:$F,MATCH(F82,'Pricing (Drugs) SS'!$A:$A,0)))</f>
        <v>10 mL</v>
      </c>
      <c r="E82" s="51" t="str">
        <f>IF(LEFT(F82,6)="Header","",INDEX('Pricing (Drugs) SS'!$D:$D,MATCH(F82,'Pricing (Drugs) SS'!$A:$A,0)))</f>
        <v>76329-3318-1</v>
      </c>
      <c r="F82" s="119">
        <v>1020440</v>
      </c>
      <c r="G82" s="214" t="str">
        <f>IF(LEFT(F82,6)="Header","",INDEX('Standard Cart Pricing Formulas'!$N:$N,MATCH(F82,'Standard Cart Pricing Formulas'!$F:$F,0)))</f>
        <v/>
      </c>
      <c r="H82" s="269"/>
      <c r="I82" s="270"/>
      <c r="L82" s="16" t="str">
        <f>IF(O82="Header","",INDEX('Standard Cart Pricing Formulas'!$N:$N,MATCH(F82,'Standard Cart Pricing Formulas'!$F:$F,0)))</f>
        <v/>
      </c>
      <c r="M82" s="16" t="str">
        <f>IF(LEFT(F82,6)="Header","",INDEX('Standard Cart Pricing Formulas'!$M:$M,MATCH(F82,'Standard Cart Pricing Formulas'!$F:$F,0)))</f>
        <v/>
      </c>
      <c r="N82" s="262" cm="1">
        <f t="array" aca="1" ref="N82" ca="1">CELL("protect",A82)</f>
        <v>0</v>
      </c>
      <c r="O82" s="262" t="str">
        <f t="shared" si="3"/>
        <v>102044</v>
      </c>
      <c r="P82" s="262" t="str">
        <f t="shared" ca="1" si="4"/>
        <v>Good</v>
      </c>
      <c r="Q82" s="262" t="str">
        <f>IF(O82="header","",INDEX('Standard Cart Pricing Formulas'!$O:$O,MATCH(F82,'Standard Cart Pricing Formulas'!$F:$F,0)))</f>
        <v/>
      </c>
    </row>
    <row r="83" spans="1:17" ht="15" customHeight="1" x14ac:dyDescent="0.25">
      <c r="A83" s="118"/>
      <c r="B83" s="49" t="str">
        <f>INDEX('Pricing (Drugs) SS'!$B:$B,MATCH(F83,'Pricing (Drugs) SS'!$A:$A,0))</f>
        <v>ETOMIDATE/AMIDATE</v>
      </c>
      <c r="C83" s="50" t="str">
        <f>IF(LEFT(F83,6)="Header","",INDEX('Pricing (Drugs) SS'!$E:$E,MATCH(F83,'Pricing (Drugs) SS'!$A:$A,0)))</f>
        <v/>
      </c>
      <c r="D83" s="49" t="str">
        <f>IF(LEFT(F83,6)="Header","",INDEX('Pricing (Drugs) SS'!$F:$F,MATCH(F83,'Pricing (Drugs) SS'!$A:$A,0)))</f>
        <v/>
      </c>
      <c r="E83" s="51" t="str">
        <f>IF(LEFT(F83,6)="Header","",INDEX('Pricing (Drugs) SS'!$D:$D,MATCH(F83,'Pricing (Drugs) SS'!$A:$A,0)))</f>
        <v/>
      </c>
      <c r="F83" s="119" t="s">
        <v>1559</v>
      </c>
      <c r="G83" s="214" t="str">
        <f>IF(LEFT(F83,6)="Header","",INDEX('Standard Cart Pricing Formulas'!$N:$N,MATCH(F83,'Standard Cart Pricing Formulas'!$F:$F,0)))</f>
        <v/>
      </c>
      <c r="H83" s="51"/>
      <c r="I83" s="272"/>
      <c r="L83" s="16" t="str">
        <f>IF(O83="Header","",INDEX('Standard Cart Pricing Formulas'!$N:$N,MATCH(F83,'Standard Cart Pricing Formulas'!$F:$F,0)))</f>
        <v/>
      </c>
      <c r="M83" s="16" t="str">
        <f>IF(LEFT(F83,6)="Header","",INDEX('Standard Cart Pricing Formulas'!$M:$M,MATCH(F83,'Standard Cart Pricing Formulas'!$F:$F,0)))</f>
        <v/>
      </c>
      <c r="N83" s="262" cm="1">
        <f t="array" aca="1" ref="N83" ca="1">CELL("protect",A83)</f>
        <v>1</v>
      </c>
      <c r="O83" s="262" t="str">
        <f t="shared" si="3"/>
        <v>HEADER</v>
      </c>
      <c r="P83" s="262" t="str">
        <f t="shared" ca="1" si="4"/>
        <v>Good</v>
      </c>
      <c r="Q83" s="262" t="str">
        <f>IF(O83="header","",INDEX('Standard Cart Pricing Formulas'!$O:$O,MATCH(F83,'Standard Cart Pricing Formulas'!$F:$F,0)))</f>
        <v/>
      </c>
    </row>
    <row r="84" spans="1:17" ht="15" customHeight="1" x14ac:dyDescent="0.25">
      <c r="A84" s="48"/>
      <c r="B84" s="49" t="str">
        <f>INDEX('Pricing (Drugs) SS'!$B:$B,MATCH(F84,'Pricing (Drugs) SS'!$A:$A,0))</f>
        <v>ETOMIDATE INJECTION USP, 20mg/10mL (2mg/mL) 10mL VIAL</v>
      </c>
      <c r="C84" s="50" t="str">
        <f>IF(LEFT(F84,6)="Header","",INDEX('Pricing (Drugs) SS'!$E:$E,MATCH(F84,'Pricing (Drugs) SS'!$A:$A,0)))</f>
        <v>20mg/10mL</v>
      </c>
      <c r="D84" s="49" t="str">
        <f>IF(LEFT(F84,6)="Header","",INDEX('Pricing (Drugs) SS'!$F:$F,MATCH(F84,'Pricing (Drugs) SS'!$A:$A,0)))</f>
        <v>10mL</v>
      </c>
      <c r="E84" s="51" t="str">
        <f>IF(LEFT(F84,6)="Header","",INDEX('Pricing (Drugs) SS'!$D:$D,MATCH(F84,'Pricing (Drugs) SS'!$A:$A,0)))</f>
        <v>55150-221-10</v>
      </c>
      <c r="F84" s="119">
        <v>1020560</v>
      </c>
      <c r="G84" s="214" t="str">
        <f>IF(LEFT(F84,6)="Header","",INDEX('Standard Cart Pricing Formulas'!$N:$N,MATCH(F84,'Standard Cart Pricing Formulas'!$F:$F,0)))</f>
        <v>X</v>
      </c>
      <c r="H84" s="269"/>
      <c r="I84" s="270"/>
      <c r="L84" s="16" t="str">
        <f>IF(O84="Header","",INDEX('Standard Cart Pricing Formulas'!$N:$N,MATCH(F84,'Standard Cart Pricing Formulas'!$F:$F,0)))</f>
        <v>X</v>
      </c>
      <c r="M84" s="16" t="str">
        <f>IF(LEFT(F84,6)="Header","",INDEX('Standard Cart Pricing Formulas'!$M:$M,MATCH(F84,'Standard Cart Pricing Formulas'!$F:$F,0)))</f>
        <v/>
      </c>
      <c r="N84" s="262" cm="1">
        <f t="array" aca="1" ref="N84" ca="1">CELL("protect",A84)</f>
        <v>0</v>
      </c>
      <c r="O84" s="262" t="str">
        <f t="shared" si="3"/>
        <v>102056</v>
      </c>
      <c r="P84" s="262" t="str">
        <f t="shared" ca="1" si="4"/>
        <v>Good</v>
      </c>
      <c r="Q84" s="262" t="str">
        <f>IF(O84="header","",INDEX('Standard Cart Pricing Formulas'!$O:$O,MATCH(F84,'Standard Cart Pricing Formulas'!$F:$F,0)))</f>
        <v/>
      </c>
    </row>
    <row r="85" spans="1:17" ht="15" customHeight="1" x14ac:dyDescent="0.25">
      <c r="A85" s="48"/>
      <c r="B85" s="49" t="str">
        <f>INDEX('Pricing (Drugs) SS'!$B:$B,MATCH(F85,'Pricing (Drugs) SS'!$A:$A,0))</f>
        <v>ETOMIDATE INJECTION, USP 40mg PER 20mL (2mg/mL) 20mL VIAL</v>
      </c>
      <c r="C85" s="50" t="str">
        <f>IF(LEFT(F85,6)="Header","",INDEX('Pricing (Drugs) SS'!$E:$E,MATCH(F85,'Pricing (Drugs) SS'!$A:$A,0)))</f>
        <v>2mg/mL</v>
      </c>
      <c r="D85" s="49" t="str">
        <f>IF(LEFT(F85,6)="Header","",INDEX('Pricing (Drugs) SS'!$F:$F,MATCH(F85,'Pricing (Drugs) SS'!$A:$A,0)))</f>
        <v>20mL</v>
      </c>
      <c r="E85" s="51" t="str">
        <f>IF(LEFT(F85,6)="Header","",INDEX('Pricing (Drugs) SS'!$D:$D,MATCH(F85,'Pricing (Drugs) SS'!$A:$A,0)))</f>
        <v>55150-222-20</v>
      </c>
      <c r="F85" s="119">
        <v>1016160</v>
      </c>
      <c r="G85" s="214" t="str">
        <f>IF(LEFT(F85,6)="Header","",INDEX('Standard Cart Pricing Formulas'!$N:$N,MATCH(F85,'Standard Cart Pricing Formulas'!$F:$F,0)))</f>
        <v>X</v>
      </c>
      <c r="H85" s="269"/>
      <c r="I85" s="270"/>
      <c r="L85" s="16" t="str">
        <f>IF(O85="Header","",INDEX('Standard Cart Pricing Formulas'!$N:$N,MATCH(F85,'Standard Cart Pricing Formulas'!$F:$F,0)))</f>
        <v>X</v>
      </c>
      <c r="M85" s="16" t="str">
        <f>IF(LEFT(F85,6)="Header","",INDEX('Standard Cart Pricing Formulas'!$M:$M,MATCH(F85,'Standard Cart Pricing Formulas'!$F:$F,0)))</f>
        <v/>
      </c>
      <c r="N85" s="262" cm="1">
        <f t="array" aca="1" ref="N85" ca="1">CELL("protect",A85)</f>
        <v>0</v>
      </c>
      <c r="O85" s="262" t="str">
        <f t="shared" si="3"/>
        <v>101616</v>
      </c>
      <c r="P85" s="262" t="str">
        <f t="shared" ca="1" si="4"/>
        <v>Good</v>
      </c>
      <c r="Q85" s="262" t="str">
        <f>IF(O85="header","",INDEX('Standard Cart Pricing Formulas'!$O:$O,MATCH(F85,'Standard Cart Pricing Formulas'!$F:$F,0)))</f>
        <v/>
      </c>
    </row>
    <row r="86" spans="1:17" ht="15" customHeight="1" x14ac:dyDescent="0.25">
      <c r="A86" s="118"/>
      <c r="B86" s="49" t="str">
        <f>INDEX('Pricing (Drugs) SS'!$B:$B,MATCH(F86,'Pricing (Drugs) SS'!$A:$A,0))</f>
        <v>FAMOTIDINE</v>
      </c>
      <c r="C86" s="50" t="str">
        <f>IF(LEFT(F86,6)="Header","",INDEX('Pricing (Drugs) SS'!$E:$E,MATCH(F86,'Pricing (Drugs) SS'!$A:$A,0)))</f>
        <v/>
      </c>
      <c r="D86" s="49" t="str">
        <f>IF(LEFT(F86,6)="Header","",INDEX('Pricing (Drugs) SS'!$F:$F,MATCH(F86,'Pricing (Drugs) SS'!$A:$A,0)))</f>
        <v/>
      </c>
      <c r="E86" s="51" t="str">
        <f>IF(LEFT(F86,6)="Header","",INDEX('Pricing (Drugs) SS'!$D:$D,MATCH(F86,'Pricing (Drugs) SS'!$A:$A,0)))</f>
        <v/>
      </c>
      <c r="F86" s="119" t="s">
        <v>1560</v>
      </c>
      <c r="G86" s="214" t="str">
        <f>IF(LEFT(F86,6)="Header","",INDEX('Standard Cart Pricing Formulas'!$N:$N,MATCH(F86,'Standard Cart Pricing Formulas'!$F:$F,0)))</f>
        <v/>
      </c>
      <c r="H86" s="51"/>
      <c r="I86" s="272"/>
      <c r="L86" s="16" t="str">
        <f>IF(O86="Header","",INDEX('Standard Cart Pricing Formulas'!$N:$N,MATCH(F86,'Standard Cart Pricing Formulas'!$F:$F,0)))</f>
        <v/>
      </c>
      <c r="M86" s="16" t="str">
        <f>IF(LEFT(F86,6)="Header","",INDEX('Standard Cart Pricing Formulas'!$M:$M,MATCH(F86,'Standard Cart Pricing Formulas'!$F:$F,0)))</f>
        <v/>
      </c>
      <c r="N86" s="262" cm="1">
        <f t="array" aca="1" ref="N86" ca="1">CELL("protect",A86)</f>
        <v>1</v>
      </c>
      <c r="O86" s="262" t="str">
        <f t="shared" si="3"/>
        <v>HEADER</v>
      </c>
      <c r="P86" s="262" t="str">
        <f t="shared" ca="1" si="4"/>
        <v>Good</v>
      </c>
      <c r="Q86" s="262" t="str">
        <f>IF(O86="header","",INDEX('Standard Cart Pricing Formulas'!$O:$O,MATCH(F86,'Standard Cart Pricing Formulas'!$F:$F,0)))</f>
        <v/>
      </c>
    </row>
    <row r="87" spans="1:17" ht="15" customHeight="1" x14ac:dyDescent="0.25">
      <c r="A87" s="48"/>
      <c r="B87" s="49" t="str">
        <f>INDEX('Pricing (Drugs) SS'!$B:$B,MATCH(F87,'Pricing (Drugs) SS'!$A:$A,0))</f>
        <v>FAMOTIDINE INJECTION, USP 20 mg/2mL 2mL VIAL</v>
      </c>
      <c r="C87" s="50" t="str">
        <f>IF(LEFT(F87,6)="Header","",INDEX('Pricing (Drugs) SS'!$E:$E,MATCH(F87,'Pricing (Drugs) SS'!$A:$A,0)))</f>
        <v>10mg/mL</v>
      </c>
      <c r="D87" s="49" t="str">
        <f>IF(LEFT(F87,6)="Header","",INDEX('Pricing (Drugs) SS'!$F:$F,MATCH(F87,'Pricing (Drugs) SS'!$A:$A,0)))</f>
        <v>2mL</v>
      </c>
      <c r="E87" s="51" t="str">
        <f>IF(LEFT(F87,6)="Header","",INDEX('Pricing (Drugs) SS'!$D:$D,MATCH(F87,'Pricing (Drugs) SS'!$A:$A,0)))</f>
        <v>63323-739-12</v>
      </c>
      <c r="F87" s="119">
        <v>1012230</v>
      </c>
      <c r="G87" s="214" t="str">
        <f>IF(LEFT(F87,6)="Header","",INDEX('Standard Cart Pricing Formulas'!$N:$N,MATCH(F87,'Standard Cart Pricing Formulas'!$F:$F,0)))</f>
        <v/>
      </c>
      <c r="H87" s="269"/>
      <c r="I87" s="270"/>
      <c r="L87" s="16" t="str">
        <f>IF(O87="Header","",INDEX('Standard Cart Pricing Formulas'!$N:$N,MATCH(F87,'Standard Cart Pricing Formulas'!$F:$F,0)))</f>
        <v/>
      </c>
      <c r="M87" s="16" t="str">
        <f>IF(LEFT(F87,6)="Header","",INDEX('Standard Cart Pricing Formulas'!$M:$M,MATCH(F87,'Standard Cart Pricing Formulas'!$F:$F,0)))</f>
        <v>C</v>
      </c>
      <c r="N87" s="262" cm="1">
        <f t="array" aca="1" ref="N87" ca="1">CELL("protect",A87)</f>
        <v>0</v>
      </c>
      <c r="O87" s="262" t="str">
        <f t="shared" si="3"/>
        <v>101223</v>
      </c>
      <c r="P87" s="262" t="str">
        <f t="shared" ca="1" si="4"/>
        <v>Good</v>
      </c>
      <c r="Q87" s="262" t="str">
        <f>IF(O87="header","",INDEX('Standard Cart Pricing Formulas'!$O:$O,MATCH(F87,'Standard Cart Pricing Formulas'!$F:$F,0)))</f>
        <v/>
      </c>
    </row>
    <row r="88" spans="1:17" ht="15" customHeight="1" x14ac:dyDescent="0.25">
      <c r="A88" s="118"/>
      <c r="B88" s="49" t="str">
        <f>INDEX('Pricing (Drugs) SS'!$B:$B,MATCH(F88,'Pricing (Drugs) SS'!$A:$A,0))</f>
        <v>FLUMAZENIL/ROMAZICON</v>
      </c>
      <c r="C88" s="50" t="str">
        <f>IF(LEFT(F88,6)="Header","",INDEX('Pricing (Drugs) SS'!$E:$E,MATCH(F88,'Pricing (Drugs) SS'!$A:$A,0)))</f>
        <v/>
      </c>
      <c r="D88" s="49" t="str">
        <f>IF(LEFT(F88,6)="Header","",INDEX('Pricing (Drugs) SS'!$F:$F,MATCH(F88,'Pricing (Drugs) SS'!$A:$A,0)))</f>
        <v/>
      </c>
      <c r="E88" s="51" t="str">
        <f>IF(LEFT(F88,6)="Header","",INDEX('Pricing (Drugs) SS'!$D:$D,MATCH(F88,'Pricing (Drugs) SS'!$A:$A,0)))</f>
        <v/>
      </c>
      <c r="F88" s="119" t="s">
        <v>1561</v>
      </c>
      <c r="G88" s="214" t="str">
        <f>IF(LEFT(F88,6)="Header","",INDEX('Standard Cart Pricing Formulas'!$N:$N,MATCH(F88,'Standard Cart Pricing Formulas'!$F:$F,0)))</f>
        <v/>
      </c>
      <c r="H88" s="51"/>
      <c r="I88" s="272"/>
      <c r="L88" s="16" t="str">
        <f>IF(O88="Header","",INDEX('Standard Cart Pricing Formulas'!$N:$N,MATCH(F88,'Standard Cart Pricing Formulas'!$F:$F,0)))</f>
        <v/>
      </c>
      <c r="M88" s="16" t="str">
        <f>IF(LEFT(F88,6)="Header","",INDEX('Standard Cart Pricing Formulas'!$M:$M,MATCH(F88,'Standard Cart Pricing Formulas'!$F:$F,0)))</f>
        <v/>
      </c>
      <c r="N88" s="262" cm="1">
        <f t="array" aca="1" ref="N88" ca="1">CELL("protect",A88)</f>
        <v>1</v>
      </c>
      <c r="O88" s="262" t="str">
        <f t="shared" si="3"/>
        <v>HEADER</v>
      </c>
      <c r="P88" s="262" t="str">
        <f t="shared" ca="1" si="4"/>
        <v>Good</v>
      </c>
      <c r="Q88" s="262" t="str">
        <f>IF(O88="header","",INDEX('Standard Cart Pricing Formulas'!$O:$O,MATCH(F88,'Standard Cart Pricing Formulas'!$F:$F,0)))</f>
        <v/>
      </c>
    </row>
    <row r="89" spans="1:17" ht="15" customHeight="1" x14ac:dyDescent="0.25">
      <c r="A89" s="48"/>
      <c r="B89" s="49" t="str">
        <f>INDEX('Pricing (Drugs) SS'!$B:$B,MATCH(F89,'Pricing (Drugs) SS'!$A:$A,0))</f>
        <v>FLUMAZENIL INJECTION, USP 0.5mg/5mL (0.1mg/mL) VIAL</v>
      </c>
      <c r="C89" s="50" t="str">
        <f>IF(LEFT(F89,6)="Header","",INDEX('Pricing (Drugs) SS'!$E:$E,MATCH(F89,'Pricing (Drugs) SS'!$A:$A,0)))</f>
        <v>0.1mg/mL</v>
      </c>
      <c r="D89" s="49" t="str">
        <f>IF(LEFT(F89,6)="Header","",INDEX('Pricing (Drugs) SS'!$F:$F,MATCH(F89,'Pricing (Drugs) SS'!$A:$A,0)))</f>
        <v>5mL</v>
      </c>
      <c r="E89" s="51" t="str">
        <f>IF(LEFT(F89,6)="Header","",INDEX('Pricing (Drugs) SS'!$D:$D,MATCH(F89,'Pricing (Drugs) SS'!$A:$A,0)))</f>
        <v>0143-9784-10</v>
      </c>
      <c r="F89" s="119">
        <v>1000570</v>
      </c>
      <c r="G89" s="214" t="str">
        <f>IF(LEFT(F89,6)="Header","",INDEX('Standard Cart Pricing Formulas'!$N:$N,MATCH(F89,'Standard Cart Pricing Formulas'!$F:$F,0)))</f>
        <v/>
      </c>
      <c r="H89" s="269"/>
      <c r="I89" s="270"/>
      <c r="L89" s="16" t="str">
        <f>IF(O89="Header","",INDEX('Standard Cart Pricing Formulas'!$N:$N,MATCH(F89,'Standard Cart Pricing Formulas'!$F:$F,0)))</f>
        <v/>
      </c>
      <c r="M89" s="16" t="str">
        <f>IF(LEFT(F89,6)="Header","",INDEX('Standard Cart Pricing Formulas'!$M:$M,MATCH(F89,'Standard Cart Pricing Formulas'!$F:$F,0)))</f>
        <v/>
      </c>
      <c r="N89" s="262" cm="1">
        <f t="array" aca="1" ref="N89" ca="1">CELL("protect",A89)</f>
        <v>0</v>
      </c>
      <c r="O89" s="262" t="str">
        <f t="shared" si="3"/>
        <v>100057</v>
      </c>
      <c r="P89" s="262" t="str">
        <f t="shared" ca="1" si="4"/>
        <v>Good</v>
      </c>
      <c r="Q89" s="262" t="str">
        <f>IF(O89="header","",INDEX('Standard Cart Pricing Formulas'!$O:$O,MATCH(F89,'Standard Cart Pricing Formulas'!$F:$F,0)))</f>
        <v/>
      </c>
    </row>
    <row r="90" spans="1:17" ht="15" customHeight="1" x14ac:dyDescent="0.25">
      <c r="A90" s="48"/>
      <c r="B90" s="49" t="str">
        <f>INDEX('Pricing (Drugs) SS'!$B:$B,MATCH(F90,'Pricing (Drugs) SS'!$A:$A,0))</f>
        <v>FLUMAZENIL INJECTION, USP 1mg/10mL (0.1 mg/mL) VIAL</v>
      </c>
      <c r="C90" s="50" t="str">
        <f>IF(LEFT(F90,6)="Header","",INDEX('Pricing (Drugs) SS'!$E:$E,MATCH(F90,'Pricing (Drugs) SS'!$A:$A,0)))</f>
        <v>0.1 mg/mL</v>
      </c>
      <c r="D90" s="49" t="str">
        <f>IF(LEFT(F90,6)="Header","",INDEX('Pricing (Drugs) SS'!$F:$F,MATCH(F90,'Pricing (Drugs) SS'!$A:$A,0)))</f>
        <v>10mL</v>
      </c>
      <c r="E90" s="51" t="str">
        <f>IF(LEFT(F90,6)="Header","",INDEX('Pricing (Drugs) SS'!$D:$D,MATCH(F90,'Pricing (Drugs) SS'!$A:$A,0)))</f>
        <v>0143-9783-10</v>
      </c>
      <c r="F90" s="119">
        <v>1000560</v>
      </c>
      <c r="G90" s="214" t="str">
        <f>IF(LEFT(F90,6)="Header","",INDEX('Standard Cart Pricing Formulas'!$N:$N,MATCH(F90,'Standard Cart Pricing Formulas'!$F:$F,0)))</f>
        <v/>
      </c>
      <c r="H90" s="269"/>
      <c r="I90" s="270"/>
      <c r="L90" s="16" t="str">
        <f>IF(O90="Header","",INDEX('Standard Cart Pricing Formulas'!$N:$N,MATCH(F90,'Standard Cart Pricing Formulas'!$F:$F,0)))</f>
        <v/>
      </c>
      <c r="M90" s="16" t="str">
        <f>IF(LEFT(F90,6)="Header","",INDEX('Standard Cart Pricing Formulas'!$M:$M,MATCH(F90,'Standard Cart Pricing Formulas'!$F:$F,0)))</f>
        <v/>
      </c>
      <c r="N90" s="262" cm="1">
        <f t="array" aca="1" ref="N90" ca="1">CELL("protect",A90)</f>
        <v>0</v>
      </c>
      <c r="O90" s="262" t="str">
        <f t="shared" si="3"/>
        <v>100056</v>
      </c>
      <c r="P90" s="262" t="str">
        <f t="shared" ca="1" si="4"/>
        <v>Good</v>
      </c>
      <c r="Q90" s="262" t="str">
        <f>IF(O90="header","",INDEX('Standard Cart Pricing Formulas'!$O:$O,MATCH(F90,'Standard Cart Pricing Formulas'!$F:$F,0)))</f>
        <v/>
      </c>
    </row>
    <row r="91" spans="1:17" ht="15" customHeight="1" x14ac:dyDescent="0.25">
      <c r="A91" s="118"/>
      <c r="B91" s="49" t="str">
        <f>INDEX('Pricing (Drugs) SS'!$B:$B,MATCH(F91,'Pricing (Drugs) SS'!$A:$A,0))</f>
        <v>FUROSEMIDE/LASIX</v>
      </c>
      <c r="C91" s="50" t="str">
        <f>IF(LEFT(F91,6)="Header","",INDEX('Pricing (Drugs) SS'!$E:$E,MATCH(F91,'Pricing (Drugs) SS'!$A:$A,0)))</f>
        <v/>
      </c>
      <c r="D91" s="49" t="str">
        <f>IF(LEFT(F91,6)="Header","",INDEX('Pricing (Drugs) SS'!$F:$F,MATCH(F91,'Pricing (Drugs) SS'!$A:$A,0)))</f>
        <v/>
      </c>
      <c r="E91" s="51" t="str">
        <f>IF(LEFT(F91,6)="Header","",INDEX('Pricing (Drugs) SS'!$D:$D,MATCH(F91,'Pricing (Drugs) SS'!$A:$A,0)))</f>
        <v/>
      </c>
      <c r="F91" s="119" t="s">
        <v>1562</v>
      </c>
      <c r="G91" s="214" t="str">
        <f>IF(LEFT(F91,6)="Header","",INDEX('Standard Cart Pricing Formulas'!$N:$N,MATCH(F91,'Standard Cart Pricing Formulas'!$F:$F,0)))</f>
        <v/>
      </c>
      <c r="H91" s="51"/>
      <c r="I91" s="272"/>
      <c r="L91" s="16" t="str">
        <f>IF(O91="Header","",INDEX('Standard Cart Pricing Formulas'!$N:$N,MATCH(F91,'Standard Cart Pricing Formulas'!$F:$F,0)))</f>
        <v/>
      </c>
      <c r="M91" s="16" t="str">
        <f>IF(LEFT(F91,6)="Header","",INDEX('Standard Cart Pricing Formulas'!$M:$M,MATCH(F91,'Standard Cart Pricing Formulas'!$F:$F,0)))</f>
        <v/>
      </c>
      <c r="N91" s="262" cm="1">
        <f t="array" aca="1" ref="N91" ca="1">CELL("protect",A91)</f>
        <v>1</v>
      </c>
      <c r="O91" s="262" t="str">
        <f t="shared" si="3"/>
        <v>HEADER</v>
      </c>
      <c r="P91" s="262" t="str">
        <f t="shared" ca="1" si="4"/>
        <v>Good</v>
      </c>
      <c r="Q91" s="262" t="str">
        <f>IF(O91="header","",INDEX('Standard Cart Pricing Formulas'!$O:$O,MATCH(F91,'Standard Cart Pricing Formulas'!$F:$F,0)))</f>
        <v/>
      </c>
    </row>
    <row r="92" spans="1:17" ht="15" customHeight="1" x14ac:dyDescent="0.25">
      <c r="A92" s="48"/>
      <c r="B92" s="49" t="str">
        <f>INDEX('Pricing (Drugs) SS'!$B:$B,MATCH(F92,'Pricing (Drugs) SS'!$A:$A,0))</f>
        <v>FUROSEMIDE INJECTION, USP 20mg PER 2mL (10mg PER mL) 2mL VIAL</v>
      </c>
      <c r="C92" s="50" t="str">
        <f>IF(LEFT(F92,6)="Header","",INDEX('Pricing (Drugs) SS'!$E:$E,MATCH(F92,'Pricing (Drugs) SS'!$A:$A,0)))</f>
        <v>10mg/mL</v>
      </c>
      <c r="D92" s="49" t="str">
        <f>IF(LEFT(F92,6)="Header","",INDEX('Pricing (Drugs) SS'!$F:$F,MATCH(F92,'Pricing (Drugs) SS'!$A:$A,0)))</f>
        <v>2mL</v>
      </c>
      <c r="E92" s="51" t="str">
        <f>IF(LEFT(F92,6)="Header","",INDEX('Pricing (Drugs) SS'!$D:$D,MATCH(F92,'Pricing (Drugs) SS'!$A:$A,0)))</f>
        <v>63323-280-02</v>
      </c>
      <c r="F92" s="119">
        <v>1016580</v>
      </c>
      <c r="G92" s="214" t="str">
        <f>IF(LEFT(F92,6)="Header","",INDEX('Standard Cart Pricing Formulas'!$N:$N,MATCH(F92,'Standard Cart Pricing Formulas'!$F:$F,0)))</f>
        <v/>
      </c>
      <c r="H92" s="269"/>
      <c r="I92" s="270"/>
      <c r="L92" s="16" t="str">
        <f>IF(O92="Header","",INDEX('Standard Cart Pricing Formulas'!$N:$N,MATCH(F92,'Standard Cart Pricing Formulas'!$F:$F,0)))</f>
        <v/>
      </c>
      <c r="M92" s="16" t="str">
        <f>IF(LEFT(F92,6)="Header","",INDEX('Standard Cart Pricing Formulas'!$M:$M,MATCH(F92,'Standard Cart Pricing Formulas'!$F:$F,0)))</f>
        <v/>
      </c>
      <c r="N92" s="262" cm="1">
        <f t="array" aca="1" ref="N92" ca="1">CELL("protect",A92)</f>
        <v>0</v>
      </c>
      <c r="O92" s="262" t="str">
        <f t="shared" si="3"/>
        <v>101658</v>
      </c>
      <c r="P92" s="262" t="str">
        <f t="shared" ca="1" si="4"/>
        <v>Good</v>
      </c>
      <c r="Q92" s="262" t="str">
        <f>IF(O92="header","",INDEX('Standard Cart Pricing Formulas'!$O:$O,MATCH(F92,'Standard Cart Pricing Formulas'!$F:$F,0)))</f>
        <v/>
      </c>
    </row>
    <row r="93" spans="1:17" ht="15" customHeight="1" x14ac:dyDescent="0.25">
      <c r="A93" s="48"/>
      <c r="B93" s="49" t="str">
        <f>INDEX('Pricing (Drugs) SS'!$B:$B,MATCH(F93,'Pricing (Drugs) SS'!$A:$A,0))</f>
        <v>FUROSEMIDE INJECTION, USP 40mg PER 4mL (10mg PER mL) 4mL VIAL</v>
      </c>
      <c r="C93" s="50" t="str">
        <f>IF(LEFT(F93,6)="Header","",INDEX('Pricing (Drugs) SS'!$E:$E,MATCH(F93,'Pricing (Drugs) SS'!$A:$A,0)))</f>
        <v>10mg/mL</v>
      </c>
      <c r="D93" s="49" t="str">
        <f>IF(LEFT(F93,6)="Header","",INDEX('Pricing (Drugs) SS'!$F:$F,MATCH(F93,'Pricing (Drugs) SS'!$A:$A,0)))</f>
        <v>4mL</v>
      </c>
      <c r="E93" s="51" t="str">
        <f>IF(LEFT(F93,6)="Header","",INDEX('Pricing (Drugs) SS'!$D:$D,MATCH(F93,'Pricing (Drugs) SS'!$A:$A,0)))</f>
        <v>63323-280-04</v>
      </c>
      <c r="F93" s="119">
        <v>1016590</v>
      </c>
      <c r="G93" s="214" t="str">
        <f>IF(LEFT(F93,6)="Header","",INDEX('Standard Cart Pricing Formulas'!$N:$N,MATCH(F93,'Standard Cart Pricing Formulas'!$F:$F,0)))</f>
        <v/>
      </c>
      <c r="H93" s="269"/>
      <c r="I93" s="270"/>
      <c r="L93" s="16" t="str">
        <f>IF(O93="Header","",INDEX('Standard Cart Pricing Formulas'!$N:$N,MATCH(F93,'Standard Cart Pricing Formulas'!$F:$F,0)))</f>
        <v/>
      </c>
      <c r="M93" s="16" t="str">
        <f>IF(LEFT(F93,6)="Header","",INDEX('Standard Cart Pricing Formulas'!$M:$M,MATCH(F93,'Standard Cart Pricing Formulas'!$F:$F,0)))</f>
        <v/>
      </c>
      <c r="N93" s="262" cm="1">
        <f t="array" aca="1" ref="N93" ca="1">CELL("protect",A93)</f>
        <v>0</v>
      </c>
      <c r="O93" s="262" t="str">
        <f t="shared" si="3"/>
        <v>101659</v>
      </c>
      <c r="P93" s="262" t="str">
        <f t="shared" ca="1" si="4"/>
        <v>Good</v>
      </c>
      <c r="Q93" s="262" t="str">
        <f>IF(O93="header","",INDEX('Standard Cart Pricing Formulas'!$O:$O,MATCH(F93,'Standard Cart Pricing Formulas'!$F:$F,0)))</f>
        <v/>
      </c>
    </row>
    <row r="94" spans="1:17" ht="15" customHeight="1" x14ac:dyDescent="0.25">
      <c r="A94" s="48"/>
      <c r="B94" s="49" t="str">
        <f>INDEX('Pricing (Drugs) SS'!$B:$B,MATCH(F94,'Pricing (Drugs) SS'!$A:$A,0))</f>
        <v>FUROSEMIDE INJECTION, USP 100mg PER 10mL (10mg PER mL) 10mL VIAL</v>
      </c>
      <c r="C94" s="50" t="str">
        <f>IF(LEFT(F94,6)="Header","",INDEX('Pricing (Drugs) SS'!$E:$E,MATCH(F94,'Pricing (Drugs) SS'!$A:$A,0)))</f>
        <v>10mg/mL</v>
      </c>
      <c r="D94" s="49" t="str">
        <f>IF(LEFT(F94,6)="Header","",INDEX('Pricing (Drugs) SS'!$F:$F,MATCH(F94,'Pricing (Drugs) SS'!$A:$A,0)))</f>
        <v>10mL</v>
      </c>
      <c r="E94" s="51" t="str">
        <f>IF(LEFT(F94,6)="Header","",INDEX('Pricing (Drugs) SS'!$D:$D,MATCH(F94,'Pricing (Drugs) SS'!$A:$A,0)))</f>
        <v>63323-280-10</v>
      </c>
      <c r="F94" s="119">
        <v>1016570</v>
      </c>
      <c r="G94" s="214" t="str">
        <f>IF(LEFT(F94,6)="Header","",INDEX('Standard Cart Pricing Formulas'!$N:$N,MATCH(F94,'Standard Cart Pricing Formulas'!$F:$F,0)))</f>
        <v/>
      </c>
      <c r="H94" s="269"/>
      <c r="I94" s="270"/>
      <c r="L94" s="16" t="str">
        <f>IF(O94="Header","",INDEX('Standard Cart Pricing Formulas'!$N:$N,MATCH(F94,'Standard Cart Pricing Formulas'!$F:$F,0)))</f>
        <v/>
      </c>
      <c r="M94" s="16" t="str">
        <f>IF(LEFT(F94,6)="Header","",INDEX('Standard Cart Pricing Formulas'!$M:$M,MATCH(F94,'Standard Cart Pricing Formulas'!$F:$F,0)))</f>
        <v/>
      </c>
      <c r="N94" s="262" cm="1">
        <f t="array" aca="1" ref="N94" ca="1">CELL("protect",A94)</f>
        <v>0</v>
      </c>
      <c r="O94" s="262" t="str">
        <f t="shared" si="3"/>
        <v>101657</v>
      </c>
      <c r="P94" s="262" t="str">
        <f t="shared" ca="1" si="4"/>
        <v>Good</v>
      </c>
      <c r="Q94" s="262" t="str">
        <f>IF(O94="header","",INDEX('Standard Cart Pricing Formulas'!$O:$O,MATCH(F94,'Standard Cart Pricing Formulas'!$F:$F,0)))</f>
        <v/>
      </c>
    </row>
    <row r="95" spans="1:17" ht="15" customHeight="1" x14ac:dyDescent="0.25">
      <c r="A95" s="118"/>
      <c r="B95" s="49" t="str">
        <f>INDEX('Pricing (Drugs) SS'!$B:$B,MATCH(F95,'Pricing (Drugs) SS'!$A:$A,0))</f>
        <v>GLUCOSE</v>
      </c>
      <c r="C95" s="50" t="str">
        <f>IF(LEFT(F95,6)="Header","",INDEX('Pricing (Drugs) SS'!$E:$E,MATCH(F95,'Pricing (Drugs) SS'!$A:$A,0)))</f>
        <v/>
      </c>
      <c r="D95" s="49" t="str">
        <f>IF(LEFT(F95,6)="Header","",INDEX('Pricing (Drugs) SS'!$F:$F,MATCH(F95,'Pricing (Drugs) SS'!$A:$A,0)))</f>
        <v/>
      </c>
      <c r="E95" s="51" t="str">
        <f>IF(LEFT(F95,6)="Header","",INDEX('Pricing (Drugs) SS'!$D:$D,MATCH(F95,'Pricing (Drugs) SS'!$A:$A,0)))</f>
        <v/>
      </c>
      <c r="F95" s="119" t="s">
        <v>1563</v>
      </c>
      <c r="G95" s="214" t="str">
        <f>IF(LEFT(F95,6)="Header","",INDEX('Standard Cart Pricing Formulas'!$N:$N,MATCH(F95,'Standard Cart Pricing Formulas'!$F:$F,0)))</f>
        <v/>
      </c>
      <c r="H95" s="51"/>
      <c r="I95" s="272"/>
      <c r="L95" s="16" t="str">
        <f>IF(O95="Header","",INDEX('Standard Cart Pricing Formulas'!$N:$N,MATCH(F95,'Standard Cart Pricing Formulas'!$F:$F,0)))</f>
        <v/>
      </c>
      <c r="M95" s="16" t="str">
        <f>IF(LEFT(F95,6)="Header","",INDEX('Standard Cart Pricing Formulas'!$M:$M,MATCH(F95,'Standard Cart Pricing Formulas'!$F:$F,0)))</f>
        <v/>
      </c>
      <c r="N95" s="262" cm="1">
        <f t="array" aca="1" ref="N95" ca="1">CELL("protect",A95)</f>
        <v>1</v>
      </c>
      <c r="O95" s="262" t="str">
        <f t="shared" si="3"/>
        <v>HEADER</v>
      </c>
      <c r="P95" s="262" t="str">
        <f t="shared" ca="1" si="4"/>
        <v>Good</v>
      </c>
      <c r="Q95" s="262" t="str">
        <f>IF(O95="header","",INDEX('Standard Cart Pricing Formulas'!$O:$O,MATCH(F95,'Standard Cart Pricing Formulas'!$F:$F,0)))</f>
        <v/>
      </c>
    </row>
    <row r="96" spans="1:17" ht="15" customHeight="1" x14ac:dyDescent="0.25">
      <c r="A96" s="48"/>
      <c r="B96" s="49" t="str">
        <f>INDEX('Pricing (Drugs) SS'!$B:$B,MATCH(F96,'Pricing (Drugs) SS'!$A:$A,0))</f>
        <v>TRANSCEND 15g GLUCOSE GEL POUCH</v>
      </c>
      <c r="C96" s="50" t="str">
        <f>IF(LEFT(F96,6)="Header","",INDEX('Pricing (Drugs) SS'!$E:$E,MATCH(F96,'Pricing (Drugs) SS'!$A:$A,0)))</f>
        <v>15 Gram Strength</v>
      </c>
      <c r="D96" s="49" t="str">
        <f>IF(LEFT(F96,6)="Header","",INDEX('Pricing (Drugs) SS'!$F:$F,MATCH(F96,'Pricing (Drugs) SS'!$A:$A,0)))</f>
        <v>31gm</v>
      </c>
      <c r="E96" s="51" t="str">
        <f>IF(LEFT(F96,6)="Header","",INDEX('Pricing (Drugs) SS'!$D:$D,MATCH(F96,'Pricing (Drugs) SS'!$A:$A,0)))</f>
        <v>N/A</v>
      </c>
      <c r="F96" s="119">
        <v>1025070</v>
      </c>
      <c r="G96" s="214" t="str">
        <f>IF(LEFT(F96,6)="Header","",INDEX('Standard Cart Pricing Formulas'!$N:$N,MATCH(F96,'Standard Cart Pricing Formulas'!$F:$F,0)))</f>
        <v/>
      </c>
      <c r="H96" s="269"/>
      <c r="I96" s="270"/>
      <c r="L96" s="16" t="str">
        <f>IF(O96="Header","",INDEX('Standard Cart Pricing Formulas'!$N:$N,MATCH(F96,'Standard Cart Pricing Formulas'!$F:$F,0)))</f>
        <v/>
      </c>
      <c r="M96" s="16" t="str">
        <f>IF(LEFT(F96,6)="Header","",INDEX('Standard Cart Pricing Formulas'!$M:$M,MATCH(F96,'Standard Cart Pricing Formulas'!$F:$F,0)))</f>
        <v/>
      </c>
      <c r="N96" s="262" cm="1">
        <f t="array" aca="1" ref="N96" ca="1">CELL("protect",A96)</f>
        <v>0</v>
      </c>
      <c r="O96" s="262" t="str">
        <f t="shared" si="3"/>
        <v>102507</v>
      </c>
      <c r="P96" s="262" t="str">
        <f t="shared" ca="1" si="4"/>
        <v>Good</v>
      </c>
      <c r="Q96" s="262" t="str">
        <f>IF(O96="header","",INDEX('Standard Cart Pricing Formulas'!$O:$O,MATCH(F96,'Standard Cart Pricing Formulas'!$F:$F,0)))</f>
        <v/>
      </c>
    </row>
    <row r="97" spans="1:17" ht="15" customHeight="1" x14ac:dyDescent="0.25">
      <c r="A97" s="118"/>
      <c r="B97" s="49" t="str">
        <f>INDEX('Pricing (Drugs) SS'!$B:$B,MATCH(F97,'Pricing (Drugs) SS'!$A:$A,0))</f>
        <v>GLYCOPYRROLATE/ROBINUL</v>
      </c>
      <c r="C97" s="50" t="str">
        <f>IF(LEFT(F97,6)="Header","",INDEX('Pricing (Drugs) SS'!$E:$E,MATCH(F97,'Pricing (Drugs) SS'!$A:$A,0)))</f>
        <v/>
      </c>
      <c r="D97" s="49" t="str">
        <f>IF(LEFT(F97,6)="Header","",INDEX('Pricing (Drugs) SS'!$F:$F,MATCH(F97,'Pricing (Drugs) SS'!$A:$A,0)))</f>
        <v/>
      </c>
      <c r="E97" s="51" t="str">
        <f>IF(LEFT(F97,6)="Header","",INDEX('Pricing (Drugs) SS'!$D:$D,MATCH(F97,'Pricing (Drugs) SS'!$A:$A,0)))</f>
        <v/>
      </c>
      <c r="F97" s="119" t="s">
        <v>1564</v>
      </c>
      <c r="G97" s="214" t="str">
        <f>IF(LEFT(F97,6)="Header","",INDEX('Standard Cart Pricing Formulas'!$N:$N,MATCH(F97,'Standard Cart Pricing Formulas'!$F:$F,0)))</f>
        <v/>
      </c>
      <c r="H97" s="51"/>
      <c r="I97" s="272"/>
      <c r="L97" s="16" t="str">
        <f>IF(O97="Header","",INDEX('Standard Cart Pricing Formulas'!$N:$N,MATCH(F97,'Standard Cart Pricing Formulas'!$F:$F,0)))</f>
        <v/>
      </c>
      <c r="M97" s="16" t="str">
        <f>IF(LEFT(F97,6)="Header","",INDEX('Standard Cart Pricing Formulas'!$M:$M,MATCH(F97,'Standard Cart Pricing Formulas'!$F:$F,0)))</f>
        <v/>
      </c>
      <c r="N97" s="262" cm="1">
        <f t="array" aca="1" ref="N97" ca="1">CELL("protect",A97)</f>
        <v>1</v>
      </c>
      <c r="O97" s="262" t="str">
        <f t="shared" si="3"/>
        <v>HEADER</v>
      </c>
      <c r="P97" s="262" t="str">
        <f t="shared" ca="1" si="4"/>
        <v>Good</v>
      </c>
      <c r="Q97" s="262" t="str">
        <f>IF(O97="header","",INDEX('Standard Cart Pricing Formulas'!$O:$O,MATCH(F97,'Standard Cart Pricing Formulas'!$F:$F,0)))</f>
        <v/>
      </c>
    </row>
    <row r="98" spans="1:17" ht="15" customHeight="1" x14ac:dyDescent="0.25">
      <c r="A98" s="48"/>
      <c r="B98" s="49" t="str">
        <f>INDEX('Pricing (Drugs) SS'!$B:$B,MATCH(F98,'Pricing (Drugs) SS'!$A:$A,0))</f>
        <v>GLYCOPYRROLATE INJECTION, USP 0.2mg/mL CONTAINS BENZYL ALCOHOL 1mL VIAL</v>
      </c>
      <c r="C98" s="50" t="str">
        <f>IF(LEFT(F98,6)="Header","",INDEX('Pricing (Drugs) SS'!$E:$E,MATCH(F98,'Pricing (Drugs) SS'!$A:$A,0)))</f>
        <v>0.2mg/mL</v>
      </c>
      <c r="D98" s="49" t="str">
        <f>IF(LEFT(F98,6)="Header","",INDEX('Pricing (Drugs) SS'!$F:$F,MATCH(F98,'Pricing (Drugs) SS'!$A:$A,0)))</f>
        <v>1mL</v>
      </c>
      <c r="E98" s="51" t="str">
        <f>IF(LEFT(F98,6)="Header","",INDEX('Pricing (Drugs) SS'!$D:$D,MATCH(F98,'Pricing (Drugs) SS'!$A:$A,0)))</f>
        <v>0143-9682-25</v>
      </c>
      <c r="F98" s="119">
        <v>1013070</v>
      </c>
      <c r="G98" s="214" t="str">
        <f>IF(LEFT(F98,6)="Header","",INDEX('Standard Cart Pricing Formulas'!$N:$N,MATCH(F98,'Standard Cart Pricing Formulas'!$F:$F,0)))</f>
        <v/>
      </c>
      <c r="H98" s="269"/>
      <c r="I98" s="270"/>
      <c r="L98" s="16" t="str">
        <f>IF(O98="Header","",INDEX('Standard Cart Pricing Formulas'!$N:$N,MATCH(F98,'Standard Cart Pricing Formulas'!$F:$F,0)))</f>
        <v/>
      </c>
      <c r="M98" s="16" t="str">
        <f>IF(LEFT(F98,6)="Header","",INDEX('Standard Cart Pricing Formulas'!$M:$M,MATCH(F98,'Standard Cart Pricing Formulas'!$F:$F,0)))</f>
        <v/>
      </c>
      <c r="N98" s="262" cm="1">
        <f t="array" aca="1" ref="N98" ca="1">CELL("protect",A98)</f>
        <v>0</v>
      </c>
      <c r="O98" s="262" t="str">
        <f t="shared" si="3"/>
        <v>101307</v>
      </c>
      <c r="P98" s="262" t="str">
        <f t="shared" ca="1" si="4"/>
        <v>Good</v>
      </c>
      <c r="Q98" s="262" t="str">
        <f>IF(O98="header","",INDEX('Standard Cart Pricing Formulas'!$O:$O,MATCH(F98,'Standard Cart Pricing Formulas'!$F:$F,0)))</f>
        <v/>
      </c>
    </row>
    <row r="99" spans="1:17" ht="15" customHeight="1" x14ac:dyDescent="0.25">
      <c r="A99" s="48"/>
      <c r="B99" s="49" t="str">
        <f>INDEX('Pricing (Drugs) SS'!$B:$B,MATCH(F99,'Pricing (Drugs) SS'!$A:$A,0))</f>
        <v>GLYCOPYRROLATE INJECTION, USP 1mg/5mL (0.2mg/mL) 5mL VIAL</v>
      </c>
      <c r="C99" s="50" t="str">
        <f>IF(LEFT(F99,6)="Header","",INDEX('Pricing (Drugs) SS'!$E:$E,MATCH(F99,'Pricing (Drugs) SS'!$A:$A,0)))</f>
        <v>0.2mg/mL</v>
      </c>
      <c r="D99" s="49" t="str">
        <f>IF(LEFT(F99,6)="Header","",INDEX('Pricing (Drugs) SS'!$F:$F,MATCH(F99,'Pricing (Drugs) SS'!$A:$A,0)))</f>
        <v>5mL</v>
      </c>
      <c r="E99" s="51" t="str">
        <f>IF(LEFT(F99,6)="Header","",INDEX('Pricing (Drugs) SS'!$D:$D,MATCH(F99,'Pricing (Drugs) SS'!$A:$A,0)))</f>
        <v>0143-9680-25</v>
      </c>
      <c r="F99" s="119">
        <v>1018040</v>
      </c>
      <c r="G99" s="214" t="str">
        <f>IF(LEFT(F99,6)="Header","",INDEX('Standard Cart Pricing Formulas'!$N:$N,MATCH(F99,'Standard Cart Pricing Formulas'!$F:$F,0)))</f>
        <v/>
      </c>
      <c r="H99" s="269"/>
      <c r="I99" s="270"/>
      <c r="L99" s="16" t="str">
        <f>IF(O99="Header","",INDEX('Standard Cart Pricing Formulas'!$N:$N,MATCH(F99,'Standard Cart Pricing Formulas'!$F:$F,0)))</f>
        <v/>
      </c>
      <c r="M99" s="16" t="str">
        <f>IF(LEFT(F99,6)="Header","",INDEX('Standard Cart Pricing Formulas'!$M:$M,MATCH(F99,'Standard Cart Pricing Formulas'!$F:$F,0)))</f>
        <v/>
      </c>
      <c r="N99" s="262" cm="1">
        <f t="array" aca="1" ref="N99" ca="1">CELL("protect",A99)</f>
        <v>0</v>
      </c>
      <c r="O99" s="262" t="str">
        <f t="shared" si="3"/>
        <v>101804</v>
      </c>
      <c r="P99" s="262" t="str">
        <f t="shared" ca="1" si="4"/>
        <v>Good</v>
      </c>
      <c r="Q99" s="262" t="str">
        <f>IF(O99="header","",INDEX('Standard Cart Pricing Formulas'!$O:$O,MATCH(F99,'Standard Cart Pricing Formulas'!$F:$F,0)))</f>
        <v/>
      </c>
    </row>
    <row r="100" spans="1:17" ht="15" customHeight="1" x14ac:dyDescent="0.25">
      <c r="A100" s="118"/>
      <c r="B100" s="49" t="str">
        <f>INDEX('Pricing (Drugs) SS'!$B:$B,MATCH(F100,'Pricing (Drugs) SS'!$A:$A,0))</f>
        <v>HETASTARCH</v>
      </c>
      <c r="C100" s="50" t="str">
        <f>IF(LEFT(F100,6)="Header","",INDEX('Pricing (Drugs) SS'!$E:$E,MATCH(F100,'Pricing (Drugs) SS'!$A:$A,0)))</f>
        <v/>
      </c>
      <c r="D100" s="49" t="str">
        <f>IF(LEFT(F100,6)="Header","",INDEX('Pricing (Drugs) SS'!$F:$F,MATCH(F100,'Pricing (Drugs) SS'!$A:$A,0)))</f>
        <v/>
      </c>
      <c r="E100" s="51" t="str">
        <f>IF(LEFT(F100,6)="Header","",INDEX('Pricing (Drugs) SS'!$D:$D,MATCH(F100,'Pricing (Drugs) SS'!$A:$A,0)))</f>
        <v/>
      </c>
      <c r="F100" s="119" t="s">
        <v>1565</v>
      </c>
      <c r="G100" s="214" t="str">
        <f>IF(LEFT(F100,6)="Header","",INDEX('Standard Cart Pricing Formulas'!$N:$N,MATCH(F100,'Standard Cart Pricing Formulas'!$F:$F,0)))</f>
        <v/>
      </c>
      <c r="H100" s="51"/>
      <c r="I100" s="272"/>
      <c r="L100" s="16" t="str">
        <f>IF(O100="Header","",INDEX('Standard Cart Pricing Formulas'!$N:$N,MATCH(F100,'Standard Cart Pricing Formulas'!$F:$F,0)))</f>
        <v/>
      </c>
      <c r="M100" s="16" t="str">
        <f>IF(LEFT(F100,6)="Header","",INDEX('Standard Cart Pricing Formulas'!$M:$M,MATCH(F100,'Standard Cart Pricing Formulas'!$F:$F,0)))</f>
        <v/>
      </c>
      <c r="N100" s="262" cm="1">
        <f t="array" aca="1" ref="N100" ca="1">CELL("protect",A100)</f>
        <v>1</v>
      </c>
      <c r="O100" s="262" t="str">
        <f t="shared" si="3"/>
        <v>HEADER</v>
      </c>
      <c r="P100" s="262" t="str">
        <f t="shared" ca="1" si="4"/>
        <v>Good</v>
      </c>
      <c r="Q100" s="262" t="str">
        <f>IF(O100="header","",INDEX('Standard Cart Pricing Formulas'!$O:$O,MATCH(F100,'Standard Cart Pricing Formulas'!$F:$F,0)))</f>
        <v/>
      </c>
    </row>
    <row r="101" spans="1:17" ht="15" customHeight="1" x14ac:dyDescent="0.25">
      <c r="A101" s="48"/>
      <c r="B101" s="49" t="str">
        <f>INDEX('Pricing (Drugs) SS'!$B:$B,MATCH(F101,'Pricing (Drugs) SS'!$A:$A,0))</f>
        <v>6% HETASTARCH IN 0.9% SODIUM CHLORIDE INJECTION 500mL BAG</v>
      </c>
      <c r="C101" s="50" t="str">
        <f>IF(LEFT(F101,6)="Header","",INDEX('Pricing (Drugs) SS'!$E:$E,MATCH(F101,'Pricing (Drugs) SS'!$A:$A,0)))</f>
        <v>9mg/mL ;6%</v>
      </c>
      <c r="D101" s="49" t="str">
        <f>IF(LEFT(F101,6)="Header","",INDEX('Pricing (Drugs) SS'!$F:$F,MATCH(F101,'Pricing (Drugs) SS'!$A:$A,0)))</f>
        <v>500mL</v>
      </c>
      <c r="E101" s="51" t="str">
        <f>IF(LEFT(F101,6)="Header","",INDEX('Pricing (Drugs) SS'!$D:$D,MATCH(F101,'Pricing (Drugs) SS'!$A:$A,0)))</f>
        <v>0409-7248-03</v>
      </c>
      <c r="F101" s="119">
        <v>1009750</v>
      </c>
      <c r="G101" s="214" t="str">
        <f>IF(LEFT(F101,6)="Header","",INDEX('Standard Cart Pricing Formulas'!$N:$N,MATCH(F101,'Standard Cart Pricing Formulas'!$F:$F,0)))</f>
        <v/>
      </c>
      <c r="H101" s="269"/>
      <c r="I101" s="270"/>
      <c r="L101" s="16" t="str">
        <f>IF(O101="Header","",INDEX('Standard Cart Pricing Formulas'!$N:$N,MATCH(F101,'Standard Cart Pricing Formulas'!$F:$F,0)))</f>
        <v/>
      </c>
      <c r="M101" s="16" t="str">
        <f>IF(LEFT(F101,6)="Header","",INDEX('Standard Cart Pricing Formulas'!$M:$M,MATCH(F101,'Standard Cart Pricing Formulas'!$F:$F,0)))</f>
        <v/>
      </c>
      <c r="N101" s="262" cm="1">
        <f t="array" aca="1" ref="N101" ca="1">CELL("protect",A101)</f>
        <v>0</v>
      </c>
      <c r="O101" s="262" t="str">
        <f t="shared" si="3"/>
        <v>100975</v>
      </c>
      <c r="P101" s="262" t="str">
        <f t="shared" ca="1" si="4"/>
        <v>Good</v>
      </c>
      <c r="Q101" s="262" t="str">
        <f>IF(O101="header","",INDEX('Standard Cart Pricing Formulas'!$O:$O,MATCH(F101,'Standard Cart Pricing Formulas'!$F:$F,0)))</f>
        <v/>
      </c>
    </row>
    <row r="102" spans="1:17" ht="15" customHeight="1" x14ac:dyDescent="0.25">
      <c r="A102" s="118"/>
      <c r="B102" s="49" t="str">
        <f>INDEX('Pricing (Drugs) SS'!$B:$B,MATCH(F102,'Pricing (Drugs) SS'!$A:$A,0))</f>
        <v>HEPARIN</v>
      </c>
      <c r="C102" s="50" t="str">
        <f>IF(LEFT(F102,6)="Header","",INDEX('Pricing (Drugs) SS'!$E:$E,MATCH(F102,'Pricing (Drugs) SS'!$A:$A,0)))</f>
        <v/>
      </c>
      <c r="D102" s="49" t="str">
        <f>IF(LEFT(F102,6)="Header","",INDEX('Pricing (Drugs) SS'!$F:$F,MATCH(F102,'Pricing (Drugs) SS'!$A:$A,0)))</f>
        <v/>
      </c>
      <c r="E102" s="51" t="str">
        <f>IF(LEFT(F102,6)="Header","",INDEX('Pricing (Drugs) SS'!$D:$D,MATCH(F102,'Pricing (Drugs) SS'!$A:$A,0)))</f>
        <v/>
      </c>
      <c r="F102" s="119" t="s">
        <v>1566</v>
      </c>
      <c r="G102" s="214" t="str">
        <f>IF(LEFT(F102,6)="Header","",INDEX('Standard Cart Pricing Formulas'!$N:$N,MATCH(F102,'Standard Cart Pricing Formulas'!$F:$F,0)))</f>
        <v/>
      </c>
      <c r="H102" s="51"/>
      <c r="I102" s="272"/>
      <c r="L102" s="16" t="str">
        <f>IF(O102="Header","",INDEX('Standard Cart Pricing Formulas'!$N:$N,MATCH(F102,'Standard Cart Pricing Formulas'!$F:$F,0)))</f>
        <v/>
      </c>
      <c r="M102" s="16" t="str">
        <f>IF(LEFT(F102,6)="Header","",INDEX('Standard Cart Pricing Formulas'!$M:$M,MATCH(F102,'Standard Cart Pricing Formulas'!$F:$F,0)))</f>
        <v/>
      </c>
      <c r="N102" s="262" cm="1">
        <f t="array" aca="1" ref="N102" ca="1">CELL("protect",A102)</f>
        <v>1</v>
      </c>
      <c r="O102" s="262" t="str">
        <f t="shared" si="3"/>
        <v>HEADER</v>
      </c>
      <c r="P102" s="262" t="str">
        <f t="shared" ca="1" si="4"/>
        <v>Good</v>
      </c>
      <c r="Q102" s="262" t="str">
        <f>IF(O102="header","",INDEX('Standard Cart Pricing Formulas'!$O:$O,MATCH(F102,'Standard Cart Pricing Formulas'!$F:$F,0)))</f>
        <v/>
      </c>
    </row>
    <row r="103" spans="1:17" ht="15" customHeight="1" x14ac:dyDescent="0.25">
      <c r="A103" s="48"/>
      <c r="B103" s="49" t="str">
        <f>INDEX('Pricing (Drugs) SS'!$B:$B,MATCH(F103,'Pricing (Drugs) SS'!$A:$A,0))</f>
        <v>HEPARIN SODIUM INJECTION, USP 10,000 USP UNITS/mL 1mL VIAL</v>
      </c>
      <c r="C103" s="50" t="str">
        <f>IF(LEFT(F103,6)="Header","",INDEX('Pricing (Drugs) SS'!$E:$E,MATCH(F103,'Pricing (Drugs) SS'!$A:$A,0)))</f>
        <v>10,000usp per mL</v>
      </c>
      <c r="D103" s="49" t="str">
        <f>IF(LEFT(F103,6)="Header","",INDEX('Pricing (Drugs) SS'!$F:$F,MATCH(F103,'Pricing (Drugs) SS'!$A:$A,0)))</f>
        <v>1mL</v>
      </c>
      <c r="E103" s="51" t="str">
        <f>IF(LEFT(F103,6)="Header","",INDEX('Pricing (Drugs) SS'!$D:$D,MATCH(F103,'Pricing (Drugs) SS'!$A:$A,0)))</f>
        <v>0409-2721-01</v>
      </c>
      <c r="F103" s="119">
        <v>1013060</v>
      </c>
      <c r="G103" s="214" t="str">
        <f>IF(LEFT(F103,6)="Header","",INDEX('Standard Cart Pricing Formulas'!$N:$N,MATCH(F103,'Standard Cart Pricing Formulas'!$F:$F,0)))</f>
        <v/>
      </c>
      <c r="H103" s="269"/>
      <c r="I103" s="270"/>
      <c r="L103" s="16" t="str">
        <f>IF(O103="Header","",INDEX('Standard Cart Pricing Formulas'!$N:$N,MATCH(F103,'Standard Cart Pricing Formulas'!$F:$F,0)))</f>
        <v/>
      </c>
      <c r="M103" s="16" t="str">
        <f>IF(LEFT(F103,6)="Header","",INDEX('Standard Cart Pricing Formulas'!$M:$M,MATCH(F103,'Standard Cart Pricing Formulas'!$F:$F,0)))</f>
        <v/>
      </c>
      <c r="N103" s="262" cm="1">
        <f t="array" aca="1" ref="N103" ca="1">CELL("protect",A103)</f>
        <v>0</v>
      </c>
      <c r="O103" s="262" t="str">
        <f t="shared" si="3"/>
        <v>101306</v>
      </c>
      <c r="P103" s="262" t="str">
        <f t="shared" ca="1" si="4"/>
        <v>Good</v>
      </c>
      <c r="Q103" s="262" t="str">
        <f>IF(O103="header","",INDEX('Standard Cart Pricing Formulas'!$O:$O,MATCH(F103,'Standard Cart Pricing Formulas'!$F:$F,0)))</f>
        <v/>
      </c>
    </row>
    <row r="104" spans="1:17" ht="15" customHeight="1" x14ac:dyDescent="0.25">
      <c r="A104" s="48"/>
      <c r="B104" s="49" t="str">
        <f>INDEX('Pricing (Drugs) SS'!$B:$B,MATCH(F104,'Pricing (Drugs) SS'!$A:$A,0))</f>
        <v>HEPARIN SODIUM INJECTION, USP 50,000 USP UNITS PER 5mL (10,000 USP UNITS per mL) 5mL VIAL</v>
      </c>
      <c r="C104" s="50" t="str">
        <f>IF(LEFT(F104,6)="Header","",INDEX('Pricing (Drugs) SS'!$E:$E,MATCH(F104,'Pricing (Drugs) SS'!$A:$A,0)))</f>
        <v>10,000u/mL</v>
      </c>
      <c r="D104" s="49" t="str">
        <f>IF(LEFT(F104,6)="Header","",INDEX('Pricing (Drugs) SS'!$F:$F,MATCH(F104,'Pricing (Drugs) SS'!$A:$A,0)))</f>
        <v>5mL</v>
      </c>
      <c r="E104" s="51" t="str">
        <f>IF(LEFT(F104,6)="Header","",INDEX('Pricing (Drugs) SS'!$D:$D,MATCH(F104,'Pricing (Drugs) SS'!$A:$A,0)))</f>
        <v>63323-542-14</v>
      </c>
      <c r="F104" s="119">
        <v>1012150</v>
      </c>
      <c r="G104" s="214" t="str">
        <f>IF(LEFT(F104,6)="Header","",INDEX('Standard Cart Pricing Formulas'!$N:$N,MATCH(F104,'Standard Cart Pricing Formulas'!$F:$F,0)))</f>
        <v/>
      </c>
      <c r="H104" s="269"/>
      <c r="I104" s="270"/>
      <c r="L104" s="16" t="str">
        <f>IF(O104="Header","",INDEX('Standard Cart Pricing Formulas'!$N:$N,MATCH(F104,'Standard Cart Pricing Formulas'!$F:$F,0)))</f>
        <v/>
      </c>
      <c r="M104" s="16" t="str">
        <f>IF(LEFT(F104,6)="Header","",INDEX('Standard Cart Pricing Formulas'!$M:$M,MATCH(F104,'Standard Cart Pricing Formulas'!$F:$F,0)))</f>
        <v/>
      </c>
      <c r="N104" s="262" cm="1">
        <f t="array" aca="1" ref="N104" ca="1">CELL("protect",A104)</f>
        <v>0</v>
      </c>
      <c r="O104" s="262" t="str">
        <f t="shared" si="3"/>
        <v>101215</v>
      </c>
      <c r="P104" s="262" t="str">
        <f t="shared" ca="1" si="4"/>
        <v>Good</v>
      </c>
      <c r="Q104" s="262" t="str">
        <f>IF(O104="header","",INDEX('Standard Cart Pricing Formulas'!$O:$O,MATCH(F104,'Standard Cart Pricing Formulas'!$F:$F,0)))</f>
        <v/>
      </c>
    </row>
    <row r="105" spans="1:17" ht="15" customHeight="1" x14ac:dyDescent="0.25">
      <c r="A105" s="48"/>
      <c r="B105" s="49" t="str">
        <f>INDEX('Pricing (Drugs) SS'!$B:$B,MATCH(F105,'Pricing (Drugs) SS'!$A:$A,0))</f>
        <v>HEPARIN SODIUM IN 0.45% SODIUM CHLORIDE INJECTION (100 USP UNITS/mL) 250 mL</v>
      </c>
      <c r="C105" s="50" t="str">
        <f>IF(LEFT(F105,6)="Header","",INDEX('Pricing (Drugs) SS'!$E:$E,MATCH(F105,'Pricing (Drugs) SS'!$A:$A,0)))</f>
        <v>100 USP UNITS/mL)</v>
      </c>
      <c r="D105" s="49" t="str">
        <f>IF(LEFT(F105,6)="Header","",INDEX('Pricing (Drugs) SS'!$F:$F,MATCH(F105,'Pricing (Drugs) SS'!$A:$A,0)))</f>
        <v>250 mL</v>
      </c>
      <c r="E105" s="51" t="str">
        <f>IF(LEFT(F105,6)="Header","",INDEX('Pricing (Drugs) SS'!$D:$D,MATCH(F105,'Pricing (Drugs) SS'!$A:$A,0)))</f>
        <v>0409-7650-62</v>
      </c>
      <c r="F105" s="119">
        <v>1011890</v>
      </c>
      <c r="G105" s="214" t="str">
        <f>IF(LEFT(F105,6)="Header","",INDEX('Standard Cart Pricing Formulas'!$N:$N,MATCH(F105,'Standard Cart Pricing Formulas'!$F:$F,0)))</f>
        <v/>
      </c>
      <c r="H105" s="269"/>
      <c r="I105" s="270"/>
      <c r="L105" s="16" t="str">
        <f>IF(O105="Header","",INDEX('Standard Cart Pricing Formulas'!$N:$N,MATCH(F105,'Standard Cart Pricing Formulas'!$F:$F,0)))</f>
        <v/>
      </c>
      <c r="M105" s="16" t="str">
        <f>IF(LEFT(F105,6)="Header","",INDEX('Standard Cart Pricing Formulas'!$M:$M,MATCH(F105,'Standard Cart Pricing Formulas'!$F:$F,0)))</f>
        <v/>
      </c>
      <c r="N105" s="262" cm="1">
        <f t="array" aca="1" ref="N105" ca="1">CELL("protect",A105)</f>
        <v>0</v>
      </c>
      <c r="O105" s="262" t="str">
        <f t="shared" si="3"/>
        <v>101189</v>
      </c>
      <c r="P105" s="262" t="str">
        <f t="shared" ca="1" si="4"/>
        <v>Good</v>
      </c>
      <c r="Q105" s="262" t="str">
        <f>IF(O105="header","",INDEX('Standard Cart Pricing Formulas'!$O:$O,MATCH(F105,'Standard Cart Pricing Formulas'!$F:$F,0)))</f>
        <v/>
      </c>
    </row>
    <row r="106" spans="1:17" ht="15" customHeight="1" x14ac:dyDescent="0.25">
      <c r="A106" s="118"/>
      <c r="B106" s="49" t="str">
        <f>INDEX('Pricing (Drugs) SS'!$B:$B,MATCH(F106,'Pricing (Drugs) SS'!$A:$A,0))</f>
        <v>HYDRALAZINE/APRESOLINE</v>
      </c>
      <c r="C106" s="50" t="str">
        <f>IF(LEFT(F106,6)="Header","",INDEX('Pricing (Drugs) SS'!$E:$E,MATCH(F106,'Pricing (Drugs) SS'!$A:$A,0)))</f>
        <v/>
      </c>
      <c r="D106" s="49" t="str">
        <f>IF(LEFT(F106,6)="Header","",INDEX('Pricing (Drugs) SS'!$F:$F,MATCH(F106,'Pricing (Drugs) SS'!$A:$A,0)))</f>
        <v/>
      </c>
      <c r="E106" s="51" t="str">
        <f>IF(LEFT(F106,6)="Header","",INDEX('Pricing (Drugs) SS'!$D:$D,MATCH(F106,'Pricing (Drugs) SS'!$A:$A,0)))</f>
        <v/>
      </c>
      <c r="F106" s="119" t="s">
        <v>1567</v>
      </c>
      <c r="G106" s="214" t="str">
        <f>IF(LEFT(F106,6)="Header","",INDEX('Standard Cart Pricing Formulas'!$N:$N,MATCH(F106,'Standard Cart Pricing Formulas'!$F:$F,0)))</f>
        <v/>
      </c>
      <c r="H106" s="51"/>
      <c r="I106" s="272"/>
      <c r="L106" s="16" t="str">
        <f>IF(O106="Header","",INDEX('Standard Cart Pricing Formulas'!$N:$N,MATCH(F106,'Standard Cart Pricing Formulas'!$F:$F,0)))</f>
        <v/>
      </c>
      <c r="M106" s="16" t="str">
        <f>IF(LEFT(F106,6)="Header","",INDEX('Standard Cart Pricing Formulas'!$M:$M,MATCH(F106,'Standard Cart Pricing Formulas'!$F:$F,0)))</f>
        <v/>
      </c>
      <c r="N106" s="262" cm="1">
        <f t="array" aca="1" ref="N106" ca="1">CELL("protect",A106)</f>
        <v>1</v>
      </c>
      <c r="O106" s="262" t="str">
        <f t="shared" si="3"/>
        <v>HEADER</v>
      </c>
      <c r="P106" s="262" t="str">
        <f t="shared" ca="1" si="4"/>
        <v>Good</v>
      </c>
      <c r="Q106" s="262" t="str">
        <f>IF(O106="header","",INDEX('Standard Cart Pricing Formulas'!$O:$O,MATCH(F106,'Standard Cart Pricing Formulas'!$F:$F,0)))</f>
        <v/>
      </c>
    </row>
    <row r="107" spans="1:17" ht="15" customHeight="1" x14ac:dyDescent="0.25">
      <c r="A107" s="48"/>
      <c r="B107" s="49" t="str">
        <f>INDEX('Pricing (Drugs) SS'!$B:$B,MATCH(F107,'Pricing (Drugs) SS'!$A:$A,0))</f>
        <v>HYDRALAZINE HYDROCHLORIDE INJECTION, USP 20mg per mL 1mL VIAL</v>
      </c>
      <c r="C107" s="50" t="str">
        <f>IF(LEFT(F107,6)="Header","",INDEX('Pricing (Drugs) SS'!$E:$E,MATCH(F107,'Pricing (Drugs) SS'!$A:$A,0)))</f>
        <v>20mg/mL</v>
      </c>
      <c r="D107" s="49" t="str">
        <f>IF(LEFT(F107,6)="Header","",INDEX('Pricing (Drugs) SS'!$F:$F,MATCH(F107,'Pricing (Drugs) SS'!$A:$A,0)))</f>
        <v>1mL</v>
      </c>
      <c r="E107" s="51" t="str">
        <f>IF(LEFT(F107,6)="Header","",INDEX('Pricing (Drugs) SS'!$D:$D,MATCH(F107,'Pricing (Drugs) SS'!$A:$A,0)))</f>
        <v>63323-614-01</v>
      </c>
      <c r="F107" s="119">
        <v>1012170</v>
      </c>
      <c r="G107" s="214" t="str">
        <f>IF(LEFT(F107,6)="Header","",INDEX('Standard Cart Pricing Formulas'!$N:$N,MATCH(F107,'Standard Cart Pricing Formulas'!$F:$F,0)))</f>
        <v/>
      </c>
      <c r="H107" s="269"/>
      <c r="I107" s="270"/>
      <c r="L107" s="16" t="str">
        <f>IF(O107="Header","",INDEX('Standard Cart Pricing Formulas'!$N:$N,MATCH(F107,'Standard Cart Pricing Formulas'!$F:$F,0)))</f>
        <v/>
      </c>
      <c r="M107" s="16" t="str">
        <f>IF(LEFT(F107,6)="Header","",INDEX('Standard Cart Pricing Formulas'!$M:$M,MATCH(F107,'Standard Cart Pricing Formulas'!$F:$F,0)))</f>
        <v/>
      </c>
      <c r="N107" s="262" cm="1">
        <f t="array" aca="1" ref="N107" ca="1">CELL("protect",A107)</f>
        <v>0</v>
      </c>
      <c r="O107" s="262" t="str">
        <f t="shared" si="3"/>
        <v>101217</v>
      </c>
      <c r="P107" s="262" t="str">
        <f t="shared" ca="1" si="4"/>
        <v>Good</v>
      </c>
      <c r="Q107" s="262" t="str">
        <f>IF(O107="header","",INDEX('Standard Cart Pricing Formulas'!$O:$O,MATCH(F107,'Standard Cart Pricing Formulas'!$F:$F,0)))</f>
        <v/>
      </c>
    </row>
    <row r="108" spans="1:17" ht="15" customHeight="1" x14ac:dyDescent="0.25">
      <c r="A108" s="118"/>
      <c r="B108" s="49" t="str">
        <f>INDEX('Pricing (Drugs) SS'!$B:$B,MATCH(F108,'Pricing (Drugs) SS'!$A:$A,0))</f>
        <v>HYDROCORTISONE/ SOLU-CORTEF</v>
      </c>
      <c r="C108" s="50" t="str">
        <f>IF(LEFT(F108,6)="Header","",INDEX('Pricing (Drugs) SS'!$E:$E,MATCH(F108,'Pricing (Drugs) SS'!$A:$A,0)))</f>
        <v/>
      </c>
      <c r="D108" s="49" t="str">
        <f>IF(LEFT(F108,6)="Header","",INDEX('Pricing (Drugs) SS'!$F:$F,MATCH(F108,'Pricing (Drugs) SS'!$A:$A,0)))</f>
        <v/>
      </c>
      <c r="E108" s="51" t="str">
        <f>IF(LEFT(F108,6)="Header","",INDEX('Pricing (Drugs) SS'!$D:$D,MATCH(F108,'Pricing (Drugs) SS'!$A:$A,0)))</f>
        <v/>
      </c>
      <c r="F108" s="119" t="s">
        <v>1568</v>
      </c>
      <c r="G108" s="214" t="str">
        <f>IF(LEFT(F108,6)="Header","",INDEX('Standard Cart Pricing Formulas'!$N:$N,MATCH(F108,'Standard Cart Pricing Formulas'!$F:$F,0)))</f>
        <v/>
      </c>
      <c r="H108" s="51"/>
      <c r="I108" s="272"/>
      <c r="L108" s="16" t="str">
        <f>IF(O108="Header","",INDEX('Standard Cart Pricing Formulas'!$N:$N,MATCH(F108,'Standard Cart Pricing Formulas'!$F:$F,0)))</f>
        <v/>
      </c>
      <c r="M108" s="16" t="str">
        <f>IF(LEFT(F108,6)="Header","",INDEX('Standard Cart Pricing Formulas'!$M:$M,MATCH(F108,'Standard Cart Pricing Formulas'!$F:$F,0)))</f>
        <v/>
      </c>
      <c r="N108" s="262" cm="1">
        <f t="array" aca="1" ref="N108" ca="1">CELL("protect",A108)</f>
        <v>1</v>
      </c>
      <c r="O108" s="262" t="str">
        <f t="shared" ref="O108:O139" si="5">LEFT(F108,6)</f>
        <v>HEADER</v>
      </c>
      <c r="P108" s="262" t="str">
        <f t="shared" ca="1" si="4"/>
        <v>Good</v>
      </c>
      <c r="Q108" s="262" t="str">
        <f>IF(O108="header","",INDEX('Standard Cart Pricing Formulas'!$O:$O,MATCH(F108,'Standard Cart Pricing Formulas'!$F:$F,0)))</f>
        <v/>
      </c>
    </row>
    <row r="109" spans="1:17" ht="15" customHeight="1" x14ac:dyDescent="0.25">
      <c r="A109" s="48"/>
      <c r="B109" s="49" t="str">
        <f>INDEX('Pricing (Drugs) SS'!$B:$B,MATCH(F109,'Pricing (Drugs) SS'!$A:$A,0))</f>
        <v>SOLU-CORTEF® 100mg 2mL ACT-O-VIAL®</v>
      </c>
      <c r="C109" s="50" t="str">
        <f>IF(LEFT(F109,6)="Header","",INDEX('Pricing (Drugs) SS'!$E:$E,MATCH(F109,'Pricing (Drugs) SS'!$A:$A,0)))</f>
        <v>100mg/2mL</v>
      </c>
      <c r="D109" s="49" t="str">
        <f>IF(LEFT(F109,6)="Header","",INDEX('Pricing (Drugs) SS'!$F:$F,MATCH(F109,'Pricing (Drugs) SS'!$A:$A,0)))</f>
        <v>2mL</v>
      </c>
      <c r="E109" s="51" t="str">
        <f>IF(LEFT(F109,6)="Header","",INDEX('Pricing (Drugs) SS'!$D:$D,MATCH(F109,'Pricing (Drugs) SS'!$A:$A,0)))</f>
        <v>0009-0011-04</v>
      </c>
      <c r="F109" s="119">
        <v>1000640</v>
      </c>
      <c r="G109" s="214" t="str">
        <f>IF(LEFT(F109,6)="Header","",INDEX('Standard Cart Pricing Formulas'!$N:$N,MATCH(F109,'Standard Cart Pricing Formulas'!$F:$F,0)))</f>
        <v/>
      </c>
      <c r="H109" s="269"/>
      <c r="I109" s="270"/>
      <c r="L109" s="16" t="str">
        <f>IF(O109="Header","",INDEX('Standard Cart Pricing Formulas'!$N:$N,MATCH(F109,'Standard Cart Pricing Formulas'!$F:$F,0)))</f>
        <v/>
      </c>
      <c r="M109" s="16" t="str">
        <f>IF(LEFT(F109,6)="Header","",INDEX('Standard Cart Pricing Formulas'!$M:$M,MATCH(F109,'Standard Cart Pricing Formulas'!$F:$F,0)))</f>
        <v/>
      </c>
      <c r="N109" s="262" cm="1">
        <f t="array" aca="1" ref="N109" ca="1">CELL("protect",A109)</f>
        <v>0</v>
      </c>
      <c r="O109" s="262" t="str">
        <f t="shared" si="5"/>
        <v>100064</v>
      </c>
      <c r="P109" s="262" t="str">
        <f t="shared" ca="1" si="4"/>
        <v>Good</v>
      </c>
      <c r="Q109" s="262" t="str">
        <f>IF(O109="header","",INDEX('Standard Cart Pricing Formulas'!$O:$O,MATCH(F109,'Standard Cart Pricing Formulas'!$F:$F,0)))</f>
        <v/>
      </c>
    </row>
    <row r="110" spans="1:17" ht="15" customHeight="1" x14ac:dyDescent="0.25">
      <c r="A110" s="48"/>
      <c r="B110" s="49" t="str">
        <f>INDEX('Pricing (Drugs) SS'!$B:$B,MATCH(F110,'Pricing (Drugs) SS'!$A:$A,0))</f>
        <v>SOLU-CORTEF® 250mg 2mL ACT-O-VIAL®</v>
      </c>
      <c r="C110" s="50" t="str">
        <f>IF(LEFT(F110,6)="Header","",INDEX('Pricing (Drugs) SS'!$E:$E,MATCH(F110,'Pricing (Drugs) SS'!$A:$A,0)))</f>
        <v>250mg</v>
      </c>
      <c r="D110" s="49" t="str">
        <f>IF(LEFT(F110,6)="Header","",INDEX('Pricing (Drugs) SS'!$F:$F,MATCH(F110,'Pricing (Drugs) SS'!$A:$A,0)))</f>
        <v>2mL</v>
      </c>
      <c r="E110" s="51" t="str">
        <f>IF(LEFT(F110,6)="Header","",INDEX('Pricing (Drugs) SS'!$D:$D,MATCH(F110,'Pricing (Drugs) SS'!$A:$A,0)))</f>
        <v>0009-0013-06</v>
      </c>
      <c r="F110" s="119">
        <v>1000650</v>
      </c>
      <c r="G110" s="214" t="str">
        <f>IF(LEFT(F110,6)="Header","",INDEX('Standard Cart Pricing Formulas'!$N:$N,MATCH(F110,'Standard Cart Pricing Formulas'!$F:$F,0)))</f>
        <v/>
      </c>
      <c r="H110" s="269"/>
      <c r="I110" s="270"/>
      <c r="L110" s="16" t="str">
        <f>IF(O110="Header","",INDEX('Standard Cart Pricing Formulas'!$N:$N,MATCH(F110,'Standard Cart Pricing Formulas'!$F:$F,0)))</f>
        <v/>
      </c>
      <c r="M110" s="16" t="str">
        <f>IF(LEFT(F110,6)="Header","",INDEX('Standard Cart Pricing Formulas'!$M:$M,MATCH(F110,'Standard Cart Pricing Formulas'!$F:$F,0)))</f>
        <v/>
      </c>
      <c r="N110" s="262" cm="1">
        <f t="array" aca="1" ref="N110" ca="1">CELL("protect",A110)</f>
        <v>0</v>
      </c>
      <c r="O110" s="262" t="str">
        <f t="shared" si="5"/>
        <v>100065</v>
      </c>
      <c r="P110" s="262" t="str">
        <f t="shared" ca="1" si="4"/>
        <v>Good</v>
      </c>
      <c r="Q110" s="262" t="str">
        <f>IF(O110="header","",INDEX('Standard Cart Pricing Formulas'!$O:$O,MATCH(F110,'Standard Cart Pricing Formulas'!$F:$F,0)))</f>
        <v/>
      </c>
    </row>
    <row r="111" spans="1:17" ht="15" customHeight="1" x14ac:dyDescent="0.25">
      <c r="A111" s="118"/>
      <c r="B111" s="49" t="str">
        <f>INDEX('Pricing (Drugs) SS'!$B:$B,MATCH(F111,'Pricing (Drugs) SS'!$A:$A,0))</f>
        <v>HYALURONIDASE</v>
      </c>
      <c r="C111" s="50" t="str">
        <f>IF(LEFT(F111,6)="Header","",INDEX('Pricing (Drugs) SS'!$E:$E,MATCH(F111,'Pricing (Drugs) SS'!$A:$A,0)))</f>
        <v/>
      </c>
      <c r="D111" s="49" t="str">
        <f>IF(LEFT(F111,6)="Header","",INDEX('Pricing (Drugs) SS'!$F:$F,MATCH(F111,'Pricing (Drugs) SS'!$A:$A,0)))</f>
        <v/>
      </c>
      <c r="E111" s="51" t="str">
        <f>IF(LEFT(F111,6)="Header","",INDEX('Pricing (Drugs) SS'!$D:$D,MATCH(F111,'Pricing (Drugs) SS'!$A:$A,0)))</f>
        <v/>
      </c>
      <c r="F111" s="119" t="s">
        <v>1569</v>
      </c>
      <c r="G111" s="214" t="str">
        <f>IF(LEFT(F111,6)="Header","",INDEX('Standard Cart Pricing Formulas'!$N:$N,MATCH(F111,'Standard Cart Pricing Formulas'!$F:$F,0)))</f>
        <v/>
      </c>
      <c r="H111" s="51"/>
      <c r="I111" s="272"/>
      <c r="L111" s="16" t="str">
        <f>IF(O111="Header","",INDEX('Standard Cart Pricing Formulas'!$N:$N,MATCH(F111,'Standard Cart Pricing Formulas'!$F:$F,0)))</f>
        <v/>
      </c>
      <c r="M111" s="16" t="str">
        <f>IF(LEFT(F111,6)="Header","",INDEX('Standard Cart Pricing Formulas'!$M:$M,MATCH(F111,'Standard Cart Pricing Formulas'!$F:$F,0)))</f>
        <v/>
      </c>
      <c r="N111" s="262" cm="1">
        <f t="array" aca="1" ref="N111" ca="1">CELL("protect",A111)</f>
        <v>1</v>
      </c>
      <c r="O111" s="262" t="str">
        <f t="shared" si="5"/>
        <v>HEADER</v>
      </c>
      <c r="P111" s="262" t="str">
        <f t="shared" ca="1" si="4"/>
        <v>Good</v>
      </c>
      <c r="Q111" s="262" t="str">
        <f>IF(O111="header","",INDEX('Standard Cart Pricing Formulas'!$O:$O,MATCH(F111,'Standard Cart Pricing Formulas'!$F:$F,0)))</f>
        <v/>
      </c>
    </row>
    <row r="112" spans="1:17" ht="15" customHeight="1" x14ac:dyDescent="0.25">
      <c r="A112" s="48"/>
      <c r="B112" s="49" t="str">
        <f>INDEX('Pricing (Drugs) SS'!$B:$B,MATCH(F112,'Pricing (Drugs) SS'!$A:$A,0))</f>
        <v>HYLENEX® RECOMBINANT 1mL (HYALURONIDASE HUMAN INJECTION) 150 USP UNITS/mL 1mL VIAL</v>
      </c>
      <c r="C112" s="50" t="str">
        <f>IF(LEFT(F112,6)="Header","",INDEX('Pricing (Drugs) SS'!$E:$E,MATCH(F112,'Pricing (Drugs) SS'!$A:$A,0)))</f>
        <v>150 USP Units/mL</v>
      </c>
      <c r="D112" s="49" t="str">
        <f>IF(LEFT(F112,6)="Header","",INDEX('Pricing (Drugs) SS'!$F:$F,MATCH(F112,'Pricing (Drugs) SS'!$A:$A,0)))</f>
        <v>1mL</v>
      </c>
      <c r="E112" s="51" t="str">
        <f>IF(LEFT(F112,6)="Header","",INDEX('Pricing (Drugs) SS'!$D:$D,MATCH(F112,'Pricing (Drugs) SS'!$A:$A,0)))</f>
        <v>18657-117-04</v>
      </c>
      <c r="F112" s="119">
        <v>1016120</v>
      </c>
      <c r="G112" s="214" t="str">
        <f>IF(LEFT(F112,6)="Header","",INDEX('Standard Cart Pricing Formulas'!$N:$N,MATCH(F112,'Standard Cart Pricing Formulas'!$F:$F,0)))</f>
        <v/>
      </c>
      <c r="H112" s="269"/>
      <c r="I112" s="270"/>
      <c r="L112" s="16" t="str">
        <f>IF(O112="Header","",INDEX('Standard Cart Pricing Formulas'!$N:$N,MATCH(F112,'Standard Cart Pricing Formulas'!$F:$F,0)))</f>
        <v/>
      </c>
      <c r="M112" s="16" t="str">
        <f>IF(LEFT(F112,6)="Header","",INDEX('Standard Cart Pricing Formulas'!$M:$M,MATCH(F112,'Standard Cart Pricing Formulas'!$F:$F,0)))</f>
        <v>C</v>
      </c>
      <c r="N112" s="262" cm="1">
        <f t="array" aca="1" ref="N112" ca="1">CELL("protect",A112)</f>
        <v>0</v>
      </c>
      <c r="O112" s="262" t="str">
        <f t="shared" si="5"/>
        <v>101612</v>
      </c>
      <c r="P112" s="262" t="str">
        <f t="shared" ca="1" si="4"/>
        <v>Good</v>
      </c>
      <c r="Q112" s="262" t="str">
        <f>IF(O112="header","",INDEX('Standard Cart Pricing Formulas'!$O:$O,MATCH(F112,'Standard Cart Pricing Formulas'!$F:$F,0)))</f>
        <v/>
      </c>
    </row>
    <row r="113" spans="1:17" ht="15" customHeight="1" x14ac:dyDescent="0.25">
      <c r="A113" s="118"/>
      <c r="B113" s="49" t="str">
        <f>INDEX('Pricing (Drugs) SS'!$B:$B,MATCH(F113,'Pricing (Drugs) SS'!$A:$A,0))</f>
        <v>KETOROLAC TROMETHAMINE/TORADOL</v>
      </c>
      <c r="C113" s="50" t="str">
        <f>IF(LEFT(F113,6)="Header","",INDEX('Pricing (Drugs) SS'!$E:$E,MATCH(F113,'Pricing (Drugs) SS'!$A:$A,0)))</f>
        <v/>
      </c>
      <c r="D113" s="49" t="str">
        <f>IF(LEFT(F113,6)="Header","",INDEX('Pricing (Drugs) SS'!$F:$F,MATCH(F113,'Pricing (Drugs) SS'!$A:$A,0)))</f>
        <v/>
      </c>
      <c r="E113" s="51" t="str">
        <f>IF(LEFT(F113,6)="Header","",INDEX('Pricing (Drugs) SS'!$D:$D,MATCH(F113,'Pricing (Drugs) SS'!$A:$A,0)))</f>
        <v/>
      </c>
      <c r="F113" s="119" t="s">
        <v>1570</v>
      </c>
      <c r="G113" s="214" t="str">
        <f>IF(LEFT(F113,6)="Header","",INDEX('Standard Cart Pricing Formulas'!$N:$N,MATCH(F113,'Standard Cart Pricing Formulas'!$F:$F,0)))</f>
        <v/>
      </c>
      <c r="H113" s="51"/>
      <c r="I113" s="272"/>
      <c r="L113" s="16" t="str">
        <f>IF(O113="Header","",INDEX('Standard Cart Pricing Formulas'!$N:$N,MATCH(F113,'Standard Cart Pricing Formulas'!$F:$F,0)))</f>
        <v/>
      </c>
      <c r="M113" s="16" t="str">
        <f>IF(LEFT(F113,6)="Header","",INDEX('Standard Cart Pricing Formulas'!$M:$M,MATCH(F113,'Standard Cart Pricing Formulas'!$F:$F,0)))</f>
        <v/>
      </c>
      <c r="N113" s="262" cm="1">
        <f t="array" aca="1" ref="N113" ca="1">CELL("protect",A113)</f>
        <v>1</v>
      </c>
      <c r="O113" s="262" t="str">
        <f t="shared" si="5"/>
        <v>HEADER</v>
      </c>
      <c r="P113" s="262" t="str">
        <f t="shared" ca="1" si="4"/>
        <v>Good</v>
      </c>
      <c r="Q113" s="262" t="str">
        <f>IF(O113="header","",INDEX('Standard Cart Pricing Formulas'!$O:$O,MATCH(F113,'Standard Cart Pricing Formulas'!$F:$F,0)))</f>
        <v/>
      </c>
    </row>
    <row r="114" spans="1:17" ht="15" customHeight="1" x14ac:dyDescent="0.25">
      <c r="A114" s="48"/>
      <c r="B114" s="49" t="str">
        <f>INDEX('Pricing (Drugs) SS'!$B:$B,MATCH(F114,'Pricing (Drugs) SS'!$A:$A,0))</f>
        <v>KETOROLAC TROMETHAMINE INJ., USP 30mg/mL 1mL VIAL</v>
      </c>
      <c r="C114" s="50" t="str">
        <f>IF(LEFT(F114,6)="Header","",INDEX('Pricing (Drugs) SS'!$E:$E,MATCH(F114,'Pricing (Drugs) SS'!$A:$A,0)))</f>
        <v>30mg/mL</v>
      </c>
      <c r="D114" s="49" t="str">
        <f>IF(LEFT(F114,6)="Header","",INDEX('Pricing (Drugs) SS'!$F:$F,MATCH(F114,'Pricing (Drugs) SS'!$A:$A,0)))</f>
        <v>1mL</v>
      </c>
      <c r="E114" s="51" t="str">
        <f>IF(LEFT(F114,6)="Header","",INDEX('Pricing (Drugs) SS'!$D:$D,MATCH(F114,'Pricing (Drugs) SS'!$A:$A,0)))</f>
        <v>0409-3795-01</v>
      </c>
      <c r="F114" s="119">
        <v>1008010</v>
      </c>
      <c r="G114" s="214" t="str">
        <f>IF(LEFT(F114,6)="Header","",INDEX('Standard Cart Pricing Formulas'!$N:$N,MATCH(F114,'Standard Cart Pricing Formulas'!$F:$F,0)))</f>
        <v/>
      </c>
      <c r="H114" s="269"/>
      <c r="I114" s="270"/>
      <c r="L114" s="16" t="str">
        <f>IF(O114="Header","",INDEX('Standard Cart Pricing Formulas'!$N:$N,MATCH(F114,'Standard Cart Pricing Formulas'!$F:$F,0)))</f>
        <v/>
      </c>
      <c r="M114" s="16" t="str">
        <f>IF(LEFT(F114,6)="Header","",INDEX('Standard Cart Pricing Formulas'!$M:$M,MATCH(F114,'Standard Cart Pricing Formulas'!$F:$F,0)))</f>
        <v/>
      </c>
      <c r="N114" s="262" cm="1">
        <f t="array" aca="1" ref="N114" ca="1">CELL("protect",A114)</f>
        <v>0</v>
      </c>
      <c r="O114" s="262" t="str">
        <f t="shared" si="5"/>
        <v>100801</v>
      </c>
      <c r="P114" s="262" t="str">
        <f t="shared" ca="1" si="4"/>
        <v>Good</v>
      </c>
      <c r="Q114" s="262" t="str">
        <f>IF(O114="header","",INDEX('Standard Cart Pricing Formulas'!$O:$O,MATCH(F114,'Standard Cart Pricing Formulas'!$F:$F,0)))</f>
        <v/>
      </c>
    </row>
    <row r="115" spans="1:17" ht="15" customHeight="1" x14ac:dyDescent="0.25">
      <c r="A115" s="48"/>
      <c r="B115" s="49" t="str">
        <f>INDEX('Pricing (Drugs) SS'!$B:$B,MATCH(F115,'Pricing (Drugs) SS'!$A:$A,0))</f>
        <v>KETOROLAC TROMETHAMINE INJ., USP 60mg/2mL (30mg/mL) 2mL VIAL</v>
      </c>
      <c r="C115" s="50" t="str">
        <f>IF(LEFT(F115,6)="Header","",INDEX('Pricing (Drugs) SS'!$E:$E,MATCH(F115,'Pricing (Drugs) SS'!$A:$A,0)))</f>
        <v>60mg/2mL</v>
      </c>
      <c r="D115" s="49" t="str">
        <f>IF(LEFT(F115,6)="Header","",INDEX('Pricing (Drugs) SS'!$F:$F,MATCH(F115,'Pricing (Drugs) SS'!$A:$A,0)))</f>
        <v>2mL</v>
      </c>
      <c r="E115" s="51" t="str">
        <f>IF(LEFT(F115,6)="Header","",INDEX('Pricing (Drugs) SS'!$D:$D,MATCH(F115,'Pricing (Drugs) SS'!$A:$A,0)))</f>
        <v>0409-3796-01</v>
      </c>
      <c r="F115" s="119">
        <v>1008040</v>
      </c>
      <c r="G115" s="214" t="str">
        <f>IF(LEFT(F115,6)="Header","",INDEX('Standard Cart Pricing Formulas'!$N:$N,MATCH(F115,'Standard Cart Pricing Formulas'!$F:$F,0)))</f>
        <v/>
      </c>
      <c r="H115" s="269"/>
      <c r="I115" s="270"/>
      <c r="L115" s="16" t="str">
        <f>IF(O115="Header","",INDEX('Standard Cart Pricing Formulas'!$N:$N,MATCH(F115,'Standard Cart Pricing Formulas'!$F:$F,0)))</f>
        <v/>
      </c>
      <c r="M115" s="16" t="str">
        <f>IF(LEFT(F115,6)="Header","",INDEX('Standard Cart Pricing Formulas'!$M:$M,MATCH(F115,'Standard Cart Pricing Formulas'!$F:$F,0)))</f>
        <v/>
      </c>
      <c r="N115" s="262" cm="1">
        <f t="array" aca="1" ref="N115" ca="1">CELL("protect",A115)</f>
        <v>0</v>
      </c>
      <c r="O115" s="262" t="str">
        <f t="shared" si="5"/>
        <v>100804</v>
      </c>
      <c r="P115" s="262" t="str">
        <f t="shared" ca="1" si="4"/>
        <v>Good</v>
      </c>
      <c r="Q115" s="262" t="str">
        <f>IF(O115="header","",INDEX('Standard Cart Pricing Formulas'!$O:$O,MATCH(F115,'Standard Cart Pricing Formulas'!$F:$F,0)))</f>
        <v/>
      </c>
    </row>
    <row r="116" spans="1:17" ht="15" customHeight="1" x14ac:dyDescent="0.25">
      <c r="A116" s="118"/>
      <c r="B116" s="49" t="str">
        <f>INDEX('Pricing (Drugs) SS'!$B:$B,MATCH(F116,'Pricing (Drugs) SS'!$A:$A,0))</f>
        <v>LABETALOL / METOPROLOL/PROPANOLOL/ESMOLOL</v>
      </c>
      <c r="C116" s="50" t="str">
        <f>IF(LEFT(F116,6)="Header","",INDEX('Pricing (Drugs) SS'!$E:$E,MATCH(F116,'Pricing (Drugs) SS'!$A:$A,0)))</f>
        <v/>
      </c>
      <c r="D116" s="49" t="str">
        <f>IF(LEFT(F116,6)="Header","",INDEX('Pricing (Drugs) SS'!$F:$F,MATCH(F116,'Pricing (Drugs) SS'!$A:$A,0)))</f>
        <v/>
      </c>
      <c r="E116" s="51" t="str">
        <f>IF(LEFT(F116,6)="Header","",INDEX('Pricing (Drugs) SS'!$D:$D,MATCH(F116,'Pricing (Drugs) SS'!$A:$A,0)))</f>
        <v/>
      </c>
      <c r="F116" s="119" t="s">
        <v>1571</v>
      </c>
      <c r="G116" s="214" t="str">
        <f>IF(LEFT(F116,6)="Header","",INDEX('Standard Cart Pricing Formulas'!$N:$N,MATCH(F116,'Standard Cart Pricing Formulas'!$F:$F,0)))</f>
        <v/>
      </c>
      <c r="H116" s="51"/>
      <c r="I116" s="272"/>
      <c r="L116" s="16" t="str">
        <f>IF(O116="Header","",INDEX('Standard Cart Pricing Formulas'!$N:$N,MATCH(F116,'Standard Cart Pricing Formulas'!$F:$F,0)))</f>
        <v/>
      </c>
      <c r="M116" s="16" t="str">
        <f>IF(LEFT(F116,6)="Header","",INDEX('Standard Cart Pricing Formulas'!$M:$M,MATCH(F116,'Standard Cart Pricing Formulas'!$F:$F,0)))</f>
        <v/>
      </c>
      <c r="N116" s="262" cm="1">
        <f t="array" aca="1" ref="N116" ca="1">CELL("protect",A116)</f>
        <v>1</v>
      </c>
      <c r="O116" s="262" t="str">
        <f t="shared" si="5"/>
        <v>HEADER</v>
      </c>
      <c r="P116" s="262" t="str">
        <f t="shared" ca="1" si="4"/>
        <v>Good</v>
      </c>
      <c r="Q116" s="262" t="str">
        <f>IF(O116="header","",INDEX('Standard Cart Pricing Formulas'!$O:$O,MATCH(F116,'Standard Cart Pricing Formulas'!$F:$F,0)))</f>
        <v/>
      </c>
    </row>
    <row r="117" spans="1:17" ht="15" customHeight="1" x14ac:dyDescent="0.25">
      <c r="A117" s="48"/>
      <c r="B117" s="49" t="str">
        <f>INDEX('Pricing (Drugs) SS'!$B:$B,MATCH(F117,'Pricing (Drugs) SS'!$A:$A,0))</f>
        <v>ESMOLOL HYDROCHLORIDE INJECTION 100mg per 10mL (10mg/mL) 10mL VIAL</v>
      </c>
      <c r="C117" s="50" t="str">
        <f>IF(LEFT(F117,6)="Header","",INDEX('Pricing (Drugs) SS'!$E:$E,MATCH(F117,'Pricing (Drugs) SS'!$A:$A,0)))</f>
        <v>10mg/mL</v>
      </c>
      <c r="D117" s="49" t="str">
        <f>IF(LEFT(F117,6)="Header","",INDEX('Pricing (Drugs) SS'!$F:$F,MATCH(F117,'Pricing (Drugs) SS'!$A:$A,0)))</f>
        <v>10mL</v>
      </c>
      <c r="E117" s="51" t="str">
        <f>IF(LEFT(F117,6)="Header","",INDEX('Pricing (Drugs) SS'!$D:$D,MATCH(F117,'Pricing (Drugs) SS'!$A:$A,0)))</f>
        <v>55150-194-10</v>
      </c>
      <c r="F117" s="119">
        <v>1012640</v>
      </c>
      <c r="G117" s="214" t="str">
        <f>IF(LEFT(F117,6)="Header","",INDEX('Standard Cart Pricing Formulas'!$N:$N,MATCH(F117,'Standard Cart Pricing Formulas'!$F:$F,0)))</f>
        <v/>
      </c>
      <c r="H117" s="269"/>
      <c r="I117" s="270"/>
      <c r="L117" s="16" t="str">
        <f>IF(O117="Header","",INDEX('Standard Cart Pricing Formulas'!$N:$N,MATCH(F117,'Standard Cart Pricing Formulas'!$F:$F,0)))</f>
        <v/>
      </c>
      <c r="M117" s="16" t="str">
        <f>IF(LEFT(F117,6)="Header","",INDEX('Standard Cart Pricing Formulas'!$M:$M,MATCH(F117,'Standard Cart Pricing Formulas'!$F:$F,0)))</f>
        <v/>
      </c>
      <c r="N117" s="262" cm="1">
        <f t="array" aca="1" ref="N117" ca="1">CELL("protect",A117)</f>
        <v>0</v>
      </c>
      <c r="O117" s="262" t="str">
        <f t="shared" si="5"/>
        <v>101264</v>
      </c>
      <c r="P117" s="262" t="str">
        <f t="shared" ca="1" si="4"/>
        <v>Good</v>
      </c>
      <c r="Q117" s="262" t="str">
        <f>IF(O117="header","",INDEX('Standard Cart Pricing Formulas'!$O:$O,MATCH(F117,'Standard Cart Pricing Formulas'!$F:$F,0)))</f>
        <v/>
      </c>
    </row>
    <row r="118" spans="1:17" ht="15" customHeight="1" x14ac:dyDescent="0.25">
      <c r="A118" s="48"/>
      <c r="B118" s="49" t="str">
        <f>INDEX('Pricing (Drugs) SS'!$B:$B,MATCH(F118,'Pricing (Drugs) SS'!$A:$A,0))</f>
        <v>LABETALOL HCl INJECTION, USP 100mg/20mL (5mg/mL) 20mL VIAL BOXED</v>
      </c>
      <c r="C118" s="50" t="str">
        <f>IF(LEFT(F118,6)="Header","",INDEX('Pricing (Drugs) SS'!$E:$E,MATCH(F118,'Pricing (Drugs) SS'!$A:$A,0)))</f>
        <v>5mg/mL</v>
      </c>
      <c r="D118" s="49" t="str">
        <f>IF(LEFT(F118,6)="Header","",INDEX('Pricing (Drugs) SS'!$F:$F,MATCH(F118,'Pricing (Drugs) SS'!$A:$A,0)))</f>
        <v>20mL</v>
      </c>
      <c r="E118" s="51" t="str">
        <f>IF(LEFT(F118,6)="Header","",INDEX('Pricing (Drugs) SS'!$D:$D,MATCH(F118,'Pricing (Drugs) SS'!$A:$A,0)))</f>
        <v>0143-9622-01</v>
      </c>
      <c r="F118" s="119">
        <v>1018070</v>
      </c>
      <c r="G118" s="214" t="str">
        <f>IF(LEFT(F118,6)="Header","",INDEX('Standard Cart Pricing Formulas'!$N:$N,MATCH(F118,'Standard Cart Pricing Formulas'!$F:$F,0)))</f>
        <v/>
      </c>
      <c r="H118" s="269"/>
      <c r="I118" s="270"/>
      <c r="L118" s="16" t="str">
        <f>IF(O118="Header","",INDEX('Standard Cart Pricing Formulas'!$N:$N,MATCH(F118,'Standard Cart Pricing Formulas'!$F:$F,0)))</f>
        <v/>
      </c>
      <c r="M118" s="16" t="str">
        <f>IF(LEFT(F118,6)="Header","",INDEX('Standard Cart Pricing Formulas'!$M:$M,MATCH(F118,'Standard Cart Pricing Formulas'!$F:$F,0)))</f>
        <v/>
      </c>
      <c r="N118" s="262" cm="1">
        <f t="array" aca="1" ref="N118" ca="1">CELL("protect",A118)</f>
        <v>0</v>
      </c>
      <c r="O118" s="262" t="str">
        <f t="shared" si="5"/>
        <v>101807</v>
      </c>
      <c r="P118" s="262" t="str">
        <f t="shared" ca="1" si="4"/>
        <v>Good</v>
      </c>
      <c r="Q118" s="262" t="str">
        <f>IF(O118="header","",INDEX('Standard Cart Pricing Formulas'!$O:$O,MATCH(F118,'Standard Cart Pricing Formulas'!$F:$F,0)))</f>
        <v/>
      </c>
    </row>
    <row r="119" spans="1:17" ht="15" customHeight="1" x14ac:dyDescent="0.25">
      <c r="A119" s="48"/>
      <c r="B119" s="49" t="str">
        <f>INDEX('Pricing (Drugs) SS'!$B:$B,MATCH(F119,'Pricing (Drugs) SS'!$A:$A,0))</f>
        <v>METOPROLOL TARTRATE INJECTION, USP 5mg/5mL (1mg PER mL) 5mL VIAL</v>
      </c>
      <c r="C119" s="50" t="str">
        <f>IF(LEFT(F119,6)="Header","",INDEX('Pricing (Drugs) SS'!$E:$E,MATCH(F119,'Pricing (Drugs) SS'!$A:$A,0)))</f>
        <v>1mg/mL</v>
      </c>
      <c r="D119" s="49" t="str">
        <f>IF(LEFT(F119,6)="Header","",INDEX('Pricing (Drugs) SS'!$F:$F,MATCH(F119,'Pricing (Drugs) SS'!$A:$A,0)))</f>
        <v>5mL</v>
      </c>
      <c r="E119" s="51" t="str">
        <f>IF(LEFT(F119,6)="Header","",INDEX('Pricing (Drugs) SS'!$D:$D,MATCH(F119,'Pricing (Drugs) SS'!$A:$A,0)))</f>
        <v>0409-1778-05</v>
      </c>
      <c r="F119" s="119">
        <v>1012980</v>
      </c>
      <c r="G119" s="214" t="str">
        <f>IF(LEFT(F119,6)="Header","",INDEX('Standard Cart Pricing Formulas'!$N:$N,MATCH(F119,'Standard Cart Pricing Formulas'!$F:$F,0)))</f>
        <v/>
      </c>
      <c r="H119" s="269"/>
      <c r="I119" s="270"/>
      <c r="L119" s="16" t="str">
        <f>IF(O119="Header","",INDEX('Standard Cart Pricing Formulas'!$N:$N,MATCH(F119,'Standard Cart Pricing Formulas'!$F:$F,0)))</f>
        <v/>
      </c>
      <c r="M119" s="16" t="str">
        <f>IF(LEFT(F119,6)="Header","",INDEX('Standard Cart Pricing Formulas'!$M:$M,MATCH(F119,'Standard Cart Pricing Formulas'!$F:$F,0)))</f>
        <v/>
      </c>
      <c r="N119" s="262" cm="1">
        <f t="array" aca="1" ref="N119" ca="1">CELL("protect",A119)</f>
        <v>0</v>
      </c>
      <c r="O119" s="262" t="str">
        <f t="shared" si="5"/>
        <v>101298</v>
      </c>
      <c r="P119" s="262" t="str">
        <f t="shared" ca="1" si="4"/>
        <v>Good</v>
      </c>
      <c r="Q119" s="262" t="str">
        <f>IF(O119="header","",INDEX('Standard Cart Pricing Formulas'!$O:$O,MATCH(F119,'Standard Cart Pricing Formulas'!$F:$F,0)))</f>
        <v/>
      </c>
    </row>
    <row r="120" spans="1:17" ht="15" customHeight="1" x14ac:dyDescent="0.25">
      <c r="A120" s="48"/>
      <c r="B120" s="49" t="str">
        <f>INDEX('Pricing (Drugs) SS'!$B:$B,MATCH(F120,'Pricing (Drugs) SS'!$A:$A,0))</f>
        <v>PROPRANOLOL HYDROCHLORIDE INJECTION, USP 1mg/mL 1mL VIAL</v>
      </c>
      <c r="C120" s="50" t="str">
        <f>IF(LEFT(F120,6)="Header","",INDEX('Pricing (Drugs) SS'!$E:$E,MATCH(F120,'Pricing (Drugs) SS'!$A:$A,0)))</f>
        <v>1mg/mL</v>
      </c>
      <c r="D120" s="49" t="str">
        <f>IF(LEFT(F120,6)="Header","",INDEX('Pricing (Drugs) SS'!$F:$F,MATCH(F120,'Pricing (Drugs) SS'!$A:$A,0)))</f>
        <v>1mL</v>
      </c>
      <c r="E120" s="51" t="str">
        <f>IF(LEFT(F120,6)="Header","",INDEX('Pricing (Drugs) SS'!$D:$D,MATCH(F120,'Pricing (Drugs) SS'!$A:$A,0)))</f>
        <v>0143-9872-10</v>
      </c>
      <c r="F120" s="119">
        <v>1010110</v>
      </c>
      <c r="G120" s="214" t="str">
        <f>IF(LEFT(F120,6)="Header","",INDEX('Standard Cart Pricing Formulas'!$N:$N,MATCH(F120,'Standard Cart Pricing Formulas'!$F:$F,0)))</f>
        <v/>
      </c>
      <c r="H120" s="269"/>
      <c r="I120" s="270"/>
      <c r="L120" s="16" t="str">
        <f>IF(O120="Header","",INDEX('Standard Cart Pricing Formulas'!$N:$N,MATCH(F120,'Standard Cart Pricing Formulas'!$F:$F,0)))</f>
        <v/>
      </c>
      <c r="M120" s="16" t="str">
        <f>IF(LEFT(F120,6)="Header","",INDEX('Standard Cart Pricing Formulas'!$M:$M,MATCH(F120,'Standard Cart Pricing Formulas'!$F:$F,0)))</f>
        <v/>
      </c>
      <c r="N120" s="262" cm="1">
        <f t="array" aca="1" ref="N120" ca="1">CELL("protect",A120)</f>
        <v>0</v>
      </c>
      <c r="O120" s="262" t="str">
        <f t="shared" si="5"/>
        <v>101011</v>
      </c>
      <c r="P120" s="262" t="str">
        <f t="shared" ca="1" si="4"/>
        <v>Good</v>
      </c>
      <c r="Q120" s="262" t="str">
        <f>IF(O120="header","",INDEX('Standard Cart Pricing Formulas'!$O:$O,MATCH(F120,'Standard Cart Pricing Formulas'!$F:$F,0)))</f>
        <v/>
      </c>
    </row>
    <row r="121" spans="1:17" ht="15" customHeight="1" x14ac:dyDescent="0.25">
      <c r="A121" s="118"/>
      <c r="B121" s="49" t="str">
        <f>INDEX('Pricing (Drugs) SS'!$B:$B,MATCH(F121,'Pricing (Drugs) SS'!$A:$A,0))</f>
        <v>LACTATED RINGER'S</v>
      </c>
      <c r="C121" s="50" t="str">
        <f>IF(LEFT(F121,6)="Header","",INDEX('Pricing (Drugs) SS'!$E:$E,MATCH(F121,'Pricing (Drugs) SS'!$A:$A,0)))</f>
        <v/>
      </c>
      <c r="D121" s="49" t="str">
        <f>IF(LEFT(F121,6)="Header","",INDEX('Pricing (Drugs) SS'!$F:$F,MATCH(F121,'Pricing (Drugs) SS'!$A:$A,0)))</f>
        <v/>
      </c>
      <c r="E121" s="51" t="str">
        <f>IF(LEFT(F121,6)="Header","",INDEX('Pricing (Drugs) SS'!$D:$D,MATCH(F121,'Pricing (Drugs) SS'!$A:$A,0)))</f>
        <v/>
      </c>
      <c r="F121" s="119" t="s">
        <v>1572</v>
      </c>
      <c r="G121" s="214" t="str">
        <f>IF(LEFT(F121,6)="Header","",INDEX('Standard Cart Pricing Formulas'!$N:$N,MATCH(F121,'Standard Cart Pricing Formulas'!$F:$F,0)))</f>
        <v/>
      </c>
      <c r="H121" s="51"/>
      <c r="I121" s="272"/>
      <c r="L121" s="16" t="str">
        <f>IF(O121="Header","",INDEX('Standard Cart Pricing Formulas'!$N:$N,MATCH(F121,'Standard Cart Pricing Formulas'!$F:$F,0)))</f>
        <v/>
      </c>
      <c r="M121" s="16" t="str">
        <f>IF(LEFT(F121,6)="Header","",INDEX('Standard Cart Pricing Formulas'!$M:$M,MATCH(F121,'Standard Cart Pricing Formulas'!$F:$F,0)))</f>
        <v/>
      </c>
      <c r="N121" s="262" cm="1">
        <f t="array" aca="1" ref="N121" ca="1">CELL("protect",A121)</f>
        <v>1</v>
      </c>
      <c r="O121" s="262" t="str">
        <f t="shared" si="5"/>
        <v>HEADER</v>
      </c>
      <c r="P121" s="262" t="str">
        <f t="shared" ca="1" si="4"/>
        <v>Good</v>
      </c>
      <c r="Q121" s="262" t="str">
        <f>IF(O121="header","",INDEX('Standard Cart Pricing Formulas'!$O:$O,MATCH(F121,'Standard Cart Pricing Formulas'!$F:$F,0)))</f>
        <v/>
      </c>
    </row>
    <row r="122" spans="1:17" ht="15" customHeight="1" x14ac:dyDescent="0.25">
      <c r="A122" s="48"/>
      <c r="B122" s="49" t="str">
        <f>INDEX('Pricing (Drugs) SS'!$B:$B,MATCH(F122,'Pricing (Drugs) SS'!$A:$A,0))</f>
        <v>LACTATED RINGER'S AND 5% DEXTROSE INJECTION, USP 1000mL BAG</v>
      </c>
      <c r="C122" s="50" t="str">
        <f>IF(LEFT(F122,6)="Header","",INDEX('Pricing (Drugs) SS'!$E:$E,MATCH(F122,'Pricing (Drugs) SS'!$A:$A,0)))</f>
        <v>600mg/100mL</v>
      </c>
      <c r="D122" s="49" t="str">
        <f>IF(LEFT(F122,6)="Header","",INDEX('Pricing (Drugs) SS'!$F:$F,MATCH(F122,'Pricing (Drugs) SS'!$A:$A,0)))</f>
        <v>1000mL</v>
      </c>
      <c r="E122" s="51" t="str">
        <f>IF(LEFT(F122,6)="Header","",INDEX('Pricing (Drugs) SS'!$D:$D,MATCH(F122,'Pricing (Drugs) SS'!$A:$A,0)))</f>
        <v>0990-7929-09</v>
      </c>
      <c r="F122" s="119">
        <v>1014210</v>
      </c>
      <c r="G122" s="214" t="str">
        <f>IF(LEFT(F122,6)="Header","",INDEX('Standard Cart Pricing Formulas'!$N:$N,MATCH(F122,'Standard Cart Pricing Formulas'!$F:$F,0)))</f>
        <v/>
      </c>
      <c r="H122" s="269"/>
      <c r="I122" s="270"/>
      <c r="L122" s="16" t="str">
        <f>IF(O122="Header","",INDEX('Standard Cart Pricing Formulas'!$N:$N,MATCH(F122,'Standard Cart Pricing Formulas'!$F:$F,0)))</f>
        <v/>
      </c>
      <c r="M122" s="16" t="str">
        <f>IF(LEFT(F122,6)="Header","",INDEX('Standard Cart Pricing Formulas'!$M:$M,MATCH(F122,'Standard Cart Pricing Formulas'!$F:$F,0)))</f>
        <v/>
      </c>
      <c r="N122" s="262" cm="1">
        <f t="array" aca="1" ref="N122" ca="1">CELL("protect",A122)</f>
        <v>0</v>
      </c>
      <c r="O122" s="262" t="str">
        <f t="shared" si="5"/>
        <v>101421</v>
      </c>
      <c r="P122" s="262" t="str">
        <f t="shared" ca="1" si="4"/>
        <v>Good</v>
      </c>
      <c r="Q122" s="262" t="str">
        <f>IF(O122="header","",INDEX('Standard Cart Pricing Formulas'!$O:$O,MATCH(F122,'Standard Cart Pricing Formulas'!$F:$F,0)))</f>
        <v/>
      </c>
    </row>
    <row r="123" spans="1:17" ht="15" customHeight="1" x14ac:dyDescent="0.25">
      <c r="A123" s="48"/>
      <c r="B123" s="49" t="str">
        <f>INDEX('Pricing (Drugs) SS'!$B:$B,MATCH(F123,'Pricing (Drugs) SS'!$A:$A,0))</f>
        <v>LACTATED RINGER'S INJECTION, USP 1000mL BAG</v>
      </c>
      <c r="C123" s="50">
        <f>IF(LEFT(F123,6)="Header","",INDEX('Pricing (Drugs) SS'!$E:$E,MATCH(F123,'Pricing (Drugs) SS'!$A:$A,0)))</f>
        <v>0</v>
      </c>
      <c r="D123" s="49" t="str">
        <f>IF(LEFT(F123,6)="Header","",INDEX('Pricing (Drugs) SS'!$F:$F,MATCH(F123,'Pricing (Drugs) SS'!$A:$A,0)))</f>
        <v>1000mL</v>
      </c>
      <c r="E123" s="51" t="str">
        <f>IF(LEFT(F123,6)="Header","",INDEX('Pricing (Drugs) SS'!$D:$D,MATCH(F123,'Pricing (Drugs) SS'!$A:$A,0)))</f>
        <v>0990-7953-09</v>
      </c>
      <c r="F123" s="119">
        <v>1013810</v>
      </c>
      <c r="G123" s="214" t="str">
        <f>IF(LEFT(F123,6)="Header","",INDEX('Standard Cart Pricing Formulas'!$N:$N,MATCH(F123,'Standard Cart Pricing Formulas'!$F:$F,0)))</f>
        <v/>
      </c>
      <c r="H123" s="269"/>
      <c r="I123" s="270"/>
      <c r="L123" s="16" t="str">
        <f>IF(O123="Header","",INDEX('Standard Cart Pricing Formulas'!$N:$N,MATCH(F123,'Standard Cart Pricing Formulas'!$F:$F,0)))</f>
        <v/>
      </c>
      <c r="M123" s="16" t="str">
        <f>IF(LEFT(F123,6)="Header","",INDEX('Standard Cart Pricing Formulas'!$M:$M,MATCH(F123,'Standard Cart Pricing Formulas'!$F:$F,0)))</f>
        <v/>
      </c>
      <c r="N123" s="262" cm="1">
        <f t="array" aca="1" ref="N123" ca="1">CELL("protect",A123)</f>
        <v>0</v>
      </c>
      <c r="O123" s="262" t="str">
        <f t="shared" si="5"/>
        <v>101381</v>
      </c>
      <c r="P123" s="262" t="str">
        <f t="shared" ca="1" si="4"/>
        <v>Good</v>
      </c>
      <c r="Q123" s="262" t="str">
        <f>IF(O123="header","",INDEX('Standard Cart Pricing Formulas'!$O:$O,MATCH(F123,'Standard Cart Pricing Formulas'!$F:$F,0)))</f>
        <v/>
      </c>
    </row>
    <row r="124" spans="1:17" ht="15" customHeight="1" x14ac:dyDescent="0.25">
      <c r="A124" s="118"/>
      <c r="B124" s="49" t="str">
        <f>INDEX('Pricing (Drugs) SS'!$B:$B,MATCH(F124,'Pricing (Drugs) SS'!$A:$A,0))</f>
        <v>LIDOCAINE/XYLOCAINE/LIGNOCAINE</v>
      </c>
      <c r="C124" s="50" t="str">
        <f>IF(LEFT(F124,6)="Header","",INDEX('Pricing (Drugs) SS'!$E:$E,MATCH(F124,'Pricing (Drugs) SS'!$A:$A,0)))</f>
        <v/>
      </c>
      <c r="D124" s="49" t="str">
        <f>IF(LEFT(F124,6)="Header","",INDEX('Pricing (Drugs) SS'!$F:$F,MATCH(F124,'Pricing (Drugs) SS'!$A:$A,0)))</f>
        <v/>
      </c>
      <c r="E124" s="51" t="str">
        <f>IF(LEFT(F124,6)="Header","",INDEX('Pricing (Drugs) SS'!$D:$D,MATCH(F124,'Pricing (Drugs) SS'!$A:$A,0)))</f>
        <v/>
      </c>
      <c r="F124" s="119" t="s">
        <v>1573</v>
      </c>
      <c r="G124" s="214" t="str">
        <f>IF(LEFT(F124,6)="Header","",INDEX('Standard Cart Pricing Formulas'!$N:$N,MATCH(F124,'Standard Cart Pricing Formulas'!$F:$F,0)))</f>
        <v/>
      </c>
      <c r="H124" s="51"/>
      <c r="I124" s="272"/>
      <c r="L124" s="16" t="str">
        <f>IF(O124="Header","",INDEX('Standard Cart Pricing Formulas'!$N:$N,MATCH(F124,'Standard Cart Pricing Formulas'!$F:$F,0)))</f>
        <v/>
      </c>
      <c r="M124" s="16" t="str">
        <f>IF(LEFT(F124,6)="Header","",INDEX('Standard Cart Pricing Formulas'!$M:$M,MATCH(F124,'Standard Cart Pricing Formulas'!$F:$F,0)))</f>
        <v/>
      </c>
      <c r="N124" s="262" cm="1">
        <f t="array" aca="1" ref="N124" ca="1">CELL("protect",A124)</f>
        <v>1</v>
      </c>
      <c r="O124" s="262" t="str">
        <f t="shared" si="5"/>
        <v>HEADER</v>
      </c>
      <c r="P124" s="262" t="str">
        <f t="shared" ca="1" si="4"/>
        <v>Good</v>
      </c>
      <c r="Q124" s="262" t="str">
        <f>IF(O124="header","",INDEX('Standard Cart Pricing Formulas'!$O:$O,MATCH(F124,'Standard Cart Pricing Formulas'!$F:$F,0)))</f>
        <v/>
      </c>
    </row>
    <row r="125" spans="1:17" ht="15" customHeight="1" x14ac:dyDescent="0.25">
      <c r="A125" s="48"/>
      <c r="B125" s="49" t="str">
        <f>INDEX('Pricing (Drugs) SS'!$B:$B,MATCH(F125,'Pricing (Drugs) SS'!$A:$A,0))</f>
        <v>LIDOCAINE HCI INJECTION, USP 2% (1000mg/50mL) (20mg/mL) 50 mL VIAL</v>
      </c>
      <c r="C125" s="50" t="str">
        <f>IF(LEFT(F125,6)="Header","",INDEX('Pricing (Drugs) SS'!$E:$E,MATCH(F125,'Pricing (Drugs) SS'!$A:$A,0)))</f>
        <v>20 mg/mL</v>
      </c>
      <c r="D125" s="49" t="str">
        <f>IF(LEFT(F125,6)="Header","",INDEX('Pricing (Drugs) SS'!$F:$F,MATCH(F125,'Pricing (Drugs) SS'!$A:$A,0)))</f>
        <v>50 mL</v>
      </c>
      <c r="E125" s="51" t="str">
        <f>IF(LEFT(F125,6)="Header","",INDEX('Pricing (Drugs) SS'!$D:$D,MATCH(F125,'Pricing (Drugs) SS'!$A:$A,0)))</f>
        <v>0143-9575-10</v>
      </c>
      <c r="F125" s="119">
        <v>1012280</v>
      </c>
      <c r="G125" s="214" t="str">
        <f>IF(LEFT(F125,6)="Header","",INDEX('Standard Cart Pricing Formulas'!$N:$N,MATCH(F125,'Standard Cart Pricing Formulas'!$F:$F,0)))</f>
        <v/>
      </c>
      <c r="H125" s="269"/>
      <c r="I125" s="270"/>
      <c r="L125" s="16" t="str">
        <f>IF(O125="Header","",INDEX('Standard Cart Pricing Formulas'!$N:$N,MATCH(F125,'Standard Cart Pricing Formulas'!$F:$F,0)))</f>
        <v/>
      </c>
      <c r="M125" s="16" t="str">
        <f>IF(LEFT(F125,6)="Header","",INDEX('Standard Cart Pricing Formulas'!$M:$M,MATCH(F125,'Standard Cart Pricing Formulas'!$F:$F,0)))</f>
        <v/>
      </c>
      <c r="N125" s="262" cm="1">
        <f t="array" aca="1" ref="N125" ca="1">CELL("protect",A125)</f>
        <v>0</v>
      </c>
      <c r="O125" s="262" t="str">
        <f t="shared" si="5"/>
        <v>101228</v>
      </c>
      <c r="P125" s="262" t="str">
        <f t="shared" ca="1" si="4"/>
        <v>Good</v>
      </c>
      <c r="Q125" s="262" t="str">
        <f>IF(O125="header","",INDEX('Standard Cart Pricing Formulas'!$O:$O,MATCH(F125,'Standard Cart Pricing Formulas'!$F:$F,0)))</f>
        <v/>
      </c>
    </row>
    <row r="126" spans="1:17" ht="15" customHeight="1" x14ac:dyDescent="0.25">
      <c r="A126" s="48"/>
      <c r="B126" s="49" t="str">
        <f>INDEX('Pricing (Drugs) SS'!$B:$B,MATCH(F126,'Pricing (Drugs) SS'!$A:$A,0))</f>
        <v>LIDOCAINE HCl INJECTION, USP 1% (50mg/5mL) (10mg/mL) 5 mL VIAL</v>
      </c>
      <c r="C126" s="50" t="str">
        <f>IF(LEFT(F126,6)="Header","",INDEX('Pricing (Drugs) SS'!$E:$E,MATCH(F126,'Pricing (Drugs) SS'!$A:$A,0)))</f>
        <v>10mg/mL</v>
      </c>
      <c r="D126" s="49" t="str">
        <f>IF(LEFT(F126,6)="Header","",INDEX('Pricing (Drugs) SS'!$F:$F,MATCH(F126,'Pricing (Drugs) SS'!$A:$A,0)))</f>
        <v>5mL</v>
      </c>
      <c r="E126" s="51" t="str">
        <f>IF(LEFT(F126,6)="Header","",INDEX('Pricing (Drugs) SS'!$D:$D,MATCH(F126,'Pricing (Drugs) SS'!$A:$A,0)))</f>
        <v>0143-9595-25</v>
      </c>
      <c r="F126" s="119">
        <v>1012580</v>
      </c>
      <c r="G126" s="214" t="str">
        <f>IF(LEFT(F126,6)="Header","",INDEX('Standard Cart Pricing Formulas'!$N:$N,MATCH(F126,'Standard Cart Pricing Formulas'!$F:$F,0)))</f>
        <v/>
      </c>
      <c r="H126" s="269"/>
      <c r="I126" s="270"/>
      <c r="L126" s="16" t="str">
        <f>IF(O126="Header","",INDEX('Standard Cart Pricing Formulas'!$N:$N,MATCH(F126,'Standard Cart Pricing Formulas'!$F:$F,0)))</f>
        <v/>
      </c>
      <c r="M126" s="16" t="str">
        <f>IF(LEFT(F126,6)="Header","",INDEX('Standard Cart Pricing Formulas'!$M:$M,MATCH(F126,'Standard Cart Pricing Formulas'!$F:$F,0)))</f>
        <v/>
      </c>
      <c r="N126" s="262" cm="1">
        <f t="array" aca="1" ref="N126" ca="1">CELL("protect",A126)</f>
        <v>0</v>
      </c>
      <c r="O126" s="262" t="str">
        <f t="shared" si="5"/>
        <v>101258</v>
      </c>
      <c r="P126" s="262" t="str">
        <f t="shared" ca="1" si="4"/>
        <v>Good</v>
      </c>
      <c r="Q126" s="262" t="str">
        <f>IF(O126="header","",INDEX('Standard Cart Pricing Formulas'!$O:$O,MATCH(F126,'Standard Cart Pricing Formulas'!$F:$F,0)))</f>
        <v/>
      </c>
    </row>
    <row r="127" spans="1:17" ht="15" customHeight="1" x14ac:dyDescent="0.25">
      <c r="A127" s="48"/>
      <c r="B127" s="49" t="str">
        <f>INDEX('Pricing (Drugs) SS'!$B:$B,MATCH(F127,'Pricing (Drugs) SS'!$A:$A,0))</f>
        <v>LIDOCAINE HCI INJECTION, USP 2% (100 mg/5 mL) (20 mg/mL) 5mL VIAL</v>
      </c>
      <c r="C127" s="50" t="str">
        <f>IF(LEFT(F127,6)="Header","",INDEX('Pricing (Drugs) SS'!$E:$E,MATCH(F127,'Pricing (Drugs) SS'!$A:$A,0)))</f>
        <v>20mg/mL</v>
      </c>
      <c r="D127" s="49" t="str">
        <f>IF(LEFT(F127,6)="Header","",INDEX('Pricing (Drugs) SS'!$F:$F,MATCH(F127,'Pricing (Drugs) SS'!$A:$A,0)))</f>
        <v>5mL</v>
      </c>
      <c r="E127" s="51" t="str">
        <f>IF(LEFT(F127,6)="Header","",INDEX('Pricing (Drugs) SS'!$D:$D,MATCH(F127,'Pricing (Drugs) SS'!$A:$A,0)))</f>
        <v>0143-9594-25</v>
      </c>
      <c r="F127" s="119">
        <v>1012350</v>
      </c>
      <c r="G127" s="214" t="str">
        <f>IF(LEFT(F127,6)="Header","",INDEX('Standard Cart Pricing Formulas'!$N:$N,MATCH(F127,'Standard Cart Pricing Formulas'!$F:$F,0)))</f>
        <v/>
      </c>
      <c r="H127" s="269"/>
      <c r="I127" s="270"/>
      <c r="L127" s="16" t="str">
        <f>IF(O127="Header","",INDEX('Standard Cart Pricing Formulas'!$N:$N,MATCH(F127,'Standard Cart Pricing Formulas'!$F:$F,0)))</f>
        <v/>
      </c>
      <c r="M127" s="16" t="str">
        <f>IF(LEFT(F127,6)="Header","",INDEX('Standard Cart Pricing Formulas'!$M:$M,MATCH(F127,'Standard Cart Pricing Formulas'!$F:$F,0)))</f>
        <v/>
      </c>
      <c r="N127" s="262" cm="1">
        <f t="array" aca="1" ref="N127" ca="1">CELL("protect",A127)</f>
        <v>0</v>
      </c>
      <c r="O127" s="262" t="str">
        <f t="shared" si="5"/>
        <v>101235</v>
      </c>
      <c r="P127" s="262" t="str">
        <f t="shared" ca="1" si="4"/>
        <v>Good</v>
      </c>
      <c r="Q127" s="262" t="str">
        <f>IF(O127="header","",INDEX('Standard Cart Pricing Formulas'!$O:$O,MATCH(F127,'Standard Cart Pricing Formulas'!$F:$F,0)))</f>
        <v/>
      </c>
    </row>
    <row r="128" spans="1:17" ht="15" customHeight="1" x14ac:dyDescent="0.25">
      <c r="A128" s="48"/>
      <c r="B128" s="49" t="str">
        <f>INDEX('Pricing (Drugs) SS'!$B:$B,MATCH(F128,'Pricing (Drugs) SS'!$A:$A,0))</f>
        <v>XYLOCAINE® (LIDOCAINE HCl &amp; EPI INJ, USP) W/ EPI 1:100,000 1% 200mg/20mL (10mg/mL) 20mL VIAL</v>
      </c>
      <c r="C128" s="50" t="str">
        <f>IF(LEFT(F128,6)="Header","",INDEX('Pricing (Drugs) SS'!$E:$E,MATCH(F128,'Pricing (Drugs) SS'!$A:$A,0)))</f>
        <v>10mg/mL</v>
      </c>
      <c r="D128" s="49" t="str">
        <f>IF(LEFT(F128,6)="Header","",INDEX('Pricing (Drugs) SS'!$F:$F,MATCH(F128,'Pricing (Drugs) SS'!$A:$A,0)))</f>
        <v>20mL</v>
      </c>
      <c r="E128" s="51" t="str">
        <f>IF(LEFT(F128,6)="Header","",INDEX('Pricing (Drugs) SS'!$D:$D,MATCH(F128,'Pricing (Drugs) SS'!$A:$A,0)))</f>
        <v>63323-482-27</v>
      </c>
      <c r="F128" s="119">
        <v>1019980</v>
      </c>
      <c r="G128" s="214" t="str">
        <f>IF(LEFT(F128,6)="Header","",INDEX('Standard Cart Pricing Formulas'!$N:$N,MATCH(F128,'Standard Cart Pricing Formulas'!$F:$F,0)))</f>
        <v/>
      </c>
      <c r="H128" s="269"/>
      <c r="I128" s="270"/>
      <c r="L128" s="16" t="str">
        <f>IF(O128="Header","",INDEX('Standard Cart Pricing Formulas'!$N:$N,MATCH(F128,'Standard Cart Pricing Formulas'!$F:$F,0)))</f>
        <v/>
      </c>
      <c r="M128" s="16" t="str">
        <f>IF(LEFT(F128,6)="Header","",INDEX('Standard Cart Pricing Formulas'!$M:$M,MATCH(F128,'Standard Cart Pricing Formulas'!$F:$F,0)))</f>
        <v/>
      </c>
      <c r="N128" s="262" cm="1">
        <f t="array" aca="1" ref="N128" ca="1">CELL("protect",A128)</f>
        <v>0</v>
      </c>
      <c r="O128" s="262" t="str">
        <f t="shared" si="5"/>
        <v>101998</v>
      </c>
      <c r="P128" s="262" t="str">
        <f t="shared" ca="1" si="4"/>
        <v>Good</v>
      </c>
      <c r="Q128" s="262" t="str">
        <f>IF(O128="header","",INDEX('Standard Cart Pricing Formulas'!$O:$O,MATCH(F128,'Standard Cart Pricing Formulas'!$F:$F,0)))</f>
        <v/>
      </c>
    </row>
    <row r="129" spans="1:17" ht="15" customHeight="1" x14ac:dyDescent="0.25">
      <c r="A129" s="48"/>
      <c r="B129" s="49" t="str">
        <f>INDEX('Pricing (Drugs) SS'!$B:$B,MATCH(F129,'Pricing (Drugs) SS'!$A:$A,0))</f>
        <v>XYLOCAINE(R) (LIDOCAINE HCI AND EPINEPHRINE INJECTION, USP) WITH EPINEPHRINE 1:100,000 2% 400mg PER 20mL (20mg PER mL) 20mL VIAL</v>
      </c>
      <c r="C129" s="50" t="str">
        <f>IF(LEFT(F129,6)="Header","",INDEX('Pricing (Drugs) SS'!$E:$E,MATCH(F129,'Pricing (Drugs) SS'!$A:$A,0)))</f>
        <v>2% &amp;1:100,000</v>
      </c>
      <c r="D129" s="49" t="str">
        <f>IF(LEFT(F129,6)="Header","",INDEX('Pricing (Drugs) SS'!$F:$F,MATCH(F129,'Pricing (Drugs) SS'!$A:$A,0)))</f>
        <v>20mL</v>
      </c>
      <c r="E129" s="51" t="str">
        <f>IF(LEFT(F129,6)="Header","",INDEX('Pricing (Drugs) SS'!$D:$D,MATCH(F129,'Pricing (Drugs) SS'!$A:$A,0)))</f>
        <v>63323-483-27</v>
      </c>
      <c r="F129" s="119">
        <v>1013700</v>
      </c>
      <c r="G129" s="214" t="str">
        <f>IF(LEFT(F129,6)="Header","",INDEX('Standard Cart Pricing Formulas'!$N:$N,MATCH(F129,'Standard Cart Pricing Formulas'!$F:$F,0)))</f>
        <v/>
      </c>
      <c r="H129" s="269"/>
      <c r="I129" s="270"/>
      <c r="L129" s="16" t="str">
        <f>IF(O129="Header","",INDEX('Standard Cart Pricing Formulas'!$N:$N,MATCH(F129,'Standard Cart Pricing Formulas'!$F:$F,0)))</f>
        <v/>
      </c>
      <c r="M129" s="16" t="str">
        <f>IF(LEFT(F129,6)="Header","",INDEX('Standard Cart Pricing Formulas'!$M:$M,MATCH(F129,'Standard Cart Pricing Formulas'!$F:$F,0)))</f>
        <v/>
      </c>
      <c r="N129" s="262" cm="1">
        <f t="array" aca="1" ref="N129" ca="1">CELL("protect",A129)</f>
        <v>0</v>
      </c>
      <c r="O129" s="262" t="str">
        <f t="shared" si="5"/>
        <v>101370</v>
      </c>
      <c r="P129" s="262" t="str">
        <f t="shared" ca="1" si="4"/>
        <v>Good</v>
      </c>
      <c r="Q129" s="262" t="str">
        <f>IF(O129="header","",INDEX('Standard Cart Pricing Formulas'!$O:$O,MATCH(F129,'Standard Cart Pricing Formulas'!$F:$F,0)))</f>
        <v/>
      </c>
    </row>
    <row r="130" spans="1:17" ht="15" customHeight="1" x14ac:dyDescent="0.25">
      <c r="A130" s="48"/>
      <c r="B130" s="49" t="str">
        <f>INDEX('Pricing (Drugs) SS'!$B:$B,MATCH(F130,'Pricing (Drugs) SS'!$A:$A,0))</f>
        <v>LIDOCAINE HCI INJ., USP, 2% 100 mg per 5 mL 100 mg LUER-JET™ SYR</v>
      </c>
      <c r="C130" s="50" t="str">
        <f>IF(LEFT(F130,6)="Header","",INDEX('Pricing (Drugs) SS'!$E:$E,MATCH(F130,'Pricing (Drugs) SS'!$A:$A,0)))</f>
        <v>20 mg/1 mL</v>
      </c>
      <c r="D130" s="49" t="str">
        <f>IF(LEFT(F130,6)="Header","",INDEX('Pricing (Drugs) SS'!$F:$F,MATCH(F130,'Pricing (Drugs) SS'!$A:$A,0)))</f>
        <v>5 mL</v>
      </c>
      <c r="E130" s="51" t="str">
        <f>IF(LEFT(F130,6)="Header","",INDEX('Pricing (Drugs) SS'!$D:$D,MATCH(F130,'Pricing (Drugs) SS'!$A:$A,0)))</f>
        <v>76329-3390-1</v>
      </c>
      <c r="F130" s="119">
        <v>1012400</v>
      </c>
      <c r="G130" s="214" t="str">
        <f>IF(LEFT(F130,6)="Header","",INDEX('Standard Cart Pricing Formulas'!$N:$N,MATCH(F130,'Standard Cart Pricing Formulas'!$F:$F,0)))</f>
        <v/>
      </c>
      <c r="H130" s="269"/>
      <c r="I130" s="270"/>
      <c r="L130" s="16" t="str">
        <f>IF(O130="Header","",INDEX('Standard Cart Pricing Formulas'!$N:$N,MATCH(F130,'Standard Cart Pricing Formulas'!$F:$F,0)))</f>
        <v/>
      </c>
      <c r="M130" s="16" t="str">
        <f>IF(LEFT(F130,6)="Header","",INDEX('Standard Cart Pricing Formulas'!$M:$M,MATCH(F130,'Standard Cart Pricing Formulas'!$F:$F,0)))</f>
        <v/>
      </c>
      <c r="N130" s="262" cm="1">
        <f t="array" aca="1" ref="N130" ca="1">CELL("protect",A130)</f>
        <v>0</v>
      </c>
      <c r="O130" s="262" t="str">
        <f t="shared" si="5"/>
        <v>101240</v>
      </c>
      <c r="P130" s="262" t="str">
        <f t="shared" ca="1" si="4"/>
        <v>Good</v>
      </c>
      <c r="Q130" s="262" t="str">
        <f>IF(O130="header","",INDEX('Standard Cart Pricing Formulas'!$O:$O,MATCH(F130,'Standard Cart Pricing Formulas'!$F:$F,0)))</f>
        <v/>
      </c>
    </row>
    <row r="131" spans="1:17" ht="15" customHeight="1" x14ac:dyDescent="0.25">
      <c r="A131" s="48"/>
      <c r="B131" s="49" t="str">
        <f>INDEX('Pricing (Drugs) SS'!$B:$B,MATCH(F131,'Pricing (Drugs) SS'!$A:$A,0))</f>
        <v>LIDOCAINE HCI JELLY, USP, 2%, 100mg URO-JET</v>
      </c>
      <c r="C131" s="50" t="str">
        <f>IF(LEFT(F131,6)="Header","",INDEX('Pricing (Drugs) SS'!$E:$E,MATCH(F131,'Pricing (Drugs) SS'!$A:$A,0)))</f>
        <v>20mg/mL</v>
      </c>
      <c r="D131" s="49" t="str">
        <f>IF(LEFT(F131,6)="Header","",INDEX('Pricing (Drugs) SS'!$F:$F,MATCH(F131,'Pricing (Drugs) SS'!$A:$A,0)))</f>
        <v>5mL</v>
      </c>
      <c r="E131" s="51" t="str">
        <f>IF(LEFT(F131,6)="Header","",INDEX('Pricing (Drugs) SS'!$D:$D,MATCH(F131,'Pricing (Drugs) SS'!$A:$A,0)))</f>
        <v>76329-3012-5</v>
      </c>
      <c r="F131" s="119">
        <v>1012160</v>
      </c>
      <c r="G131" s="214" t="str">
        <f>IF(LEFT(F131,6)="Header","",INDEX('Standard Cart Pricing Formulas'!$N:$N,MATCH(F131,'Standard Cart Pricing Formulas'!$F:$F,0)))</f>
        <v/>
      </c>
      <c r="H131" s="269"/>
      <c r="I131" s="270"/>
      <c r="L131" s="16" t="str">
        <f>IF(O131="Header","",INDEX('Standard Cart Pricing Formulas'!$N:$N,MATCH(F131,'Standard Cart Pricing Formulas'!$F:$F,0)))</f>
        <v/>
      </c>
      <c r="M131" s="16" t="str">
        <f>IF(LEFT(F131,6)="Header","",INDEX('Standard Cart Pricing Formulas'!$M:$M,MATCH(F131,'Standard Cart Pricing Formulas'!$F:$F,0)))</f>
        <v/>
      </c>
      <c r="N131" s="262" cm="1">
        <f t="array" aca="1" ref="N131" ca="1">CELL("protect",A131)</f>
        <v>0</v>
      </c>
      <c r="O131" s="262" t="str">
        <f t="shared" si="5"/>
        <v>101216</v>
      </c>
      <c r="P131" s="262" t="str">
        <f t="shared" ca="1" si="4"/>
        <v>Good</v>
      </c>
      <c r="Q131" s="262" t="str">
        <f>IF(O131="header","",INDEX('Standard Cart Pricing Formulas'!$O:$O,MATCH(F131,'Standard Cart Pricing Formulas'!$F:$F,0)))</f>
        <v/>
      </c>
    </row>
    <row r="132" spans="1:17" ht="15" customHeight="1" x14ac:dyDescent="0.25">
      <c r="A132" s="48"/>
      <c r="B132" s="49" t="str">
        <f>INDEX('Pricing (Drugs) SS'!$B:$B,MATCH(F132,'Pricing (Drugs) SS'!$A:$A,0))</f>
        <v>LIDOCAINE HCI AND 5% DEXTROSE INJECTION USP 2g (4mg/mL) 500mL BAG</v>
      </c>
      <c r="C132" s="50" t="str">
        <f>IF(LEFT(F132,6)="Header","",INDEX('Pricing (Drugs) SS'!$E:$E,MATCH(F132,'Pricing (Drugs) SS'!$A:$A,0)))</f>
        <v>2g (4mg/mL)</v>
      </c>
      <c r="D132" s="49" t="str">
        <f>IF(LEFT(F132,6)="Header","",INDEX('Pricing (Drugs) SS'!$F:$F,MATCH(F132,'Pricing (Drugs) SS'!$A:$A,0)))</f>
        <v>500mL</v>
      </c>
      <c r="E132" s="51" t="str">
        <f>IF(LEFT(F132,6)="Header","",INDEX('Pricing (Drugs) SS'!$D:$D,MATCH(F132,'Pricing (Drugs) SS'!$A:$A,0)))</f>
        <v>0338-0409-03</v>
      </c>
      <c r="F132" s="119">
        <v>1008590</v>
      </c>
      <c r="G132" s="214" t="str">
        <f>IF(LEFT(F132,6)="Header","",INDEX('Standard Cart Pricing Formulas'!$N:$N,MATCH(F132,'Standard Cart Pricing Formulas'!$F:$F,0)))</f>
        <v/>
      </c>
      <c r="H132" s="269"/>
      <c r="I132" s="270"/>
      <c r="L132" s="16" t="str">
        <f>IF(O132="Header","",INDEX('Standard Cart Pricing Formulas'!$N:$N,MATCH(F132,'Standard Cart Pricing Formulas'!$F:$F,0)))</f>
        <v/>
      </c>
      <c r="M132" s="16" t="str">
        <f>IF(LEFT(F132,6)="Header","",INDEX('Standard Cart Pricing Formulas'!$M:$M,MATCH(F132,'Standard Cart Pricing Formulas'!$F:$F,0)))</f>
        <v/>
      </c>
      <c r="N132" s="262" cm="1">
        <f t="array" aca="1" ref="N132" ca="1">CELL("protect",A132)</f>
        <v>0</v>
      </c>
      <c r="O132" s="262" t="str">
        <f t="shared" si="5"/>
        <v>100859</v>
      </c>
      <c r="P132" s="262" t="str">
        <f t="shared" ca="1" si="4"/>
        <v>Good</v>
      </c>
      <c r="Q132" s="262" t="str">
        <f>IF(O132="header","",INDEX('Standard Cart Pricing Formulas'!$O:$O,MATCH(F132,'Standard Cart Pricing Formulas'!$F:$F,0)))</f>
        <v/>
      </c>
    </row>
    <row r="133" spans="1:17" ht="15" customHeight="1" x14ac:dyDescent="0.25">
      <c r="A133" s="118"/>
      <c r="B133" s="49" t="str">
        <f>INDEX('Pricing (Drugs) SS'!$B:$B,MATCH(F133,'Pricing (Drugs) SS'!$A:$A,0))</f>
        <v>MAGNESIUM SULFATE</v>
      </c>
      <c r="C133" s="50" t="str">
        <f>IF(LEFT(F133,6)="Header","",INDEX('Pricing (Drugs) SS'!$E:$E,MATCH(F133,'Pricing (Drugs) SS'!$A:$A,0)))</f>
        <v/>
      </c>
      <c r="D133" s="49" t="str">
        <f>IF(LEFT(F133,6)="Header","",INDEX('Pricing (Drugs) SS'!$F:$F,MATCH(F133,'Pricing (Drugs) SS'!$A:$A,0)))</f>
        <v/>
      </c>
      <c r="E133" s="51" t="str">
        <f>IF(LEFT(F133,6)="Header","",INDEX('Pricing (Drugs) SS'!$D:$D,MATCH(F133,'Pricing (Drugs) SS'!$A:$A,0)))</f>
        <v/>
      </c>
      <c r="F133" s="119" t="s">
        <v>1574</v>
      </c>
      <c r="G133" s="214" t="str">
        <f>IF(LEFT(F133,6)="Header","",INDEX('Standard Cart Pricing Formulas'!$N:$N,MATCH(F133,'Standard Cart Pricing Formulas'!$F:$F,0)))</f>
        <v/>
      </c>
      <c r="H133" s="51"/>
      <c r="I133" s="272"/>
      <c r="L133" s="16" t="str">
        <f>IF(O133="Header","",INDEX('Standard Cart Pricing Formulas'!$N:$N,MATCH(F133,'Standard Cart Pricing Formulas'!$F:$F,0)))</f>
        <v/>
      </c>
      <c r="M133" s="16" t="str">
        <f>IF(LEFT(F133,6)="Header","",INDEX('Standard Cart Pricing Formulas'!$M:$M,MATCH(F133,'Standard Cart Pricing Formulas'!$F:$F,0)))</f>
        <v/>
      </c>
      <c r="N133" s="262" cm="1">
        <f t="array" aca="1" ref="N133" ca="1">CELL("protect",A133)</f>
        <v>1</v>
      </c>
      <c r="O133" s="262" t="str">
        <f t="shared" si="5"/>
        <v>HEADER</v>
      </c>
      <c r="P133" s="262" t="str">
        <f t="shared" ca="1" si="4"/>
        <v>Good</v>
      </c>
      <c r="Q133" s="262" t="str">
        <f>IF(O133="header","",INDEX('Standard Cart Pricing Formulas'!$O:$O,MATCH(F133,'Standard Cart Pricing Formulas'!$F:$F,0)))</f>
        <v/>
      </c>
    </row>
    <row r="134" spans="1:17" ht="15" customHeight="1" x14ac:dyDescent="0.25">
      <c r="A134" s="48"/>
      <c r="B134" s="49" t="str">
        <f>INDEX('Pricing (Drugs) SS'!$B:$B,MATCH(F134,'Pricing (Drugs) SS'!$A:$A,0))</f>
        <v>MAGNESIUM SULFATE INJECTION, USP 50% 1gram per 2mL (500mg per mL) 2mL VIAL</v>
      </c>
      <c r="C134" s="50" t="str">
        <f>IF(LEFT(F134,6)="Header","",INDEX('Pricing (Drugs) SS'!$E:$E,MATCH(F134,'Pricing (Drugs) SS'!$A:$A,0)))</f>
        <v>500mg/mL</v>
      </c>
      <c r="D134" s="49" t="str">
        <f>IF(LEFT(F134,6)="Header","",INDEX('Pricing (Drugs) SS'!$F:$F,MATCH(F134,'Pricing (Drugs) SS'!$A:$A,0)))</f>
        <v>2mL</v>
      </c>
      <c r="E134" s="51" t="str">
        <f>IF(LEFT(F134,6)="Header","",INDEX('Pricing (Drugs) SS'!$D:$D,MATCH(F134,'Pricing (Drugs) SS'!$A:$A,0)))</f>
        <v>63323-064-03</v>
      </c>
      <c r="F134" s="119">
        <v>1011950</v>
      </c>
      <c r="G134" s="214" t="str">
        <f>IF(LEFT(F134,6)="Header","",INDEX('Standard Cart Pricing Formulas'!$N:$N,MATCH(F134,'Standard Cart Pricing Formulas'!$F:$F,0)))</f>
        <v/>
      </c>
      <c r="H134" s="269"/>
      <c r="I134" s="270"/>
      <c r="L134" s="16" t="str">
        <f>IF(O134="Header","",INDEX('Standard Cart Pricing Formulas'!$N:$N,MATCH(F134,'Standard Cart Pricing Formulas'!$F:$F,0)))</f>
        <v/>
      </c>
      <c r="M134" s="16" t="str">
        <f>IF(LEFT(F134,6)="Header","",INDEX('Standard Cart Pricing Formulas'!$M:$M,MATCH(F134,'Standard Cart Pricing Formulas'!$F:$F,0)))</f>
        <v/>
      </c>
      <c r="N134" s="262" cm="1">
        <f t="array" aca="1" ref="N134" ca="1">CELL("protect",A134)</f>
        <v>0</v>
      </c>
      <c r="O134" s="262" t="str">
        <f t="shared" si="5"/>
        <v>101195</v>
      </c>
      <c r="P134" s="262" t="str">
        <f t="shared" ca="1" si="4"/>
        <v>Good</v>
      </c>
      <c r="Q134" s="262" t="str">
        <f>IF(O134="header","",INDEX('Standard Cart Pricing Formulas'!$O:$O,MATCH(F134,'Standard Cart Pricing Formulas'!$F:$F,0)))</f>
        <v/>
      </c>
    </row>
    <row r="135" spans="1:17" ht="15" customHeight="1" x14ac:dyDescent="0.25">
      <c r="A135" s="48"/>
      <c r="B135" s="49" t="str">
        <f>INDEX('Pricing (Drugs) SS'!$B:$B,MATCH(F135,'Pricing (Drugs) SS'!$A:$A,0))</f>
        <v>MAGNESIUM SULFATE INJECTION, USP 50% 5 grams per 10mL (500 mg per mL) 10mL VIAL</v>
      </c>
      <c r="C135" s="50" t="str">
        <f>IF(LEFT(F135,6)="Header","",INDEX('Pricing (Drugs) SS'!$E:$E,MATCH(F135,'Pricing (Drugs) SS'!$A:$A,0)))</f>
        <v>500 mg per mL</v>
      </c>
      <c r="D135" s="49" t="str">
        <f>IF(LEFT(F135,6)="Header","",INDEX('Pricing (Drugs) SS'!$F:$F,MATCH(F135,'Pricing (Drugs) SS'!$A:$A,0)))</f>
        <v>10mL</v>
      </c>
      <c r="E135" s="51" t="str">
        <f>IF(LEFT(F135,6)="Header","",INDEX('Pricing (Drugs) SS'!$D:$D,MATCH(F135,'Pricing (Drugs) SS'!$A:$A,0)))</f>
        <v>63323-064-11</v>
      </c>
      <c r="F135" s="119">
        <v>1012710</v>
      </c>
      <c r="G135" s="214" t="str">
        <f>IF(LEFT(F135,6)="Header","",INDEX('Standard Cart Pricing Formulas'!$N:$N,MATCH(F135,'Standard Cart Pricing Formulas'!$F:$F,0)))</f>
        <v/>
      </c>
      <c r="H135" s="269"/>
      <c r="I135" s="270"/>
      <c r="L135" s="16" t="str">
        <f>IF(O135="Header","",INDEX('Standard Cart Pricing Formulas'!$N:$N,MATCH(F135,'Standard Cart Pricing Formulas'!$F:$F,0)))</f>
        <v/>
      </c>
      <c r="M135" s="16" t="str">
        <f>IF(LEFT(F135,6)="Header","",INDEX('Standard Cart Pricing Formulas'!$M:$M,MATCH(F135,'Standard Cart Pricing Formulas'!$F:$F,0)))</f>
        <v/>
      </c>
      <c r="N135" s="262" cm="1">
        <f t="array" aca="1" ref="N135" ca="1">CELL("protect",A135)</f>
        <v>0</v>
      </c>
      <c r="O135" s="262" t="str">
        <f t="shared" si="5"/>
        <v>101271</v>
      </c>
      <c r="P135" s="262" t="str">
        <f t="shared" ca="1" si="4"/>
        <v>Good</v>
      </c>
      <c r="Q135" s="262" t="str">
        <f>IF(O135="header","",INDEX('Standard Cart Pricing Formulas'!$O:$O,MATCH(F135,'Standard Cart Pricing Formulas'!$F:$F,0)))</f>
        <v/>
      </c>
    </row>
    <row r="136" spans="1:17" ht="15" customHeight="1" x14ac:dyDescent="0.25">
      <c r="A136" s="48"/>
      <c r="B136" s="49" t="str">
        <f>INDEX('Pricing (Drugs) SS'!$B:$B,MATCH(F136,'Pricing (Drugs) SS'!$A:$A,0))</f>
        <v>MAGNESIUM SULFATE IN WATER FOR INJECTION (0.325 mEq Mg"/mL) 40mg/mL 2g TOTAL 50mL BAG</v>
      </c>
      <c r="C136" s="50" t="str">
        <f>IF(LEFT(F136,6)="Header","",INDEX('Pricing (Drugs) SS'!$E:$E,MATCH(F136,'Pricing (Drugs) SS'!$A:$A,0)))</f>
        <v>40mg/mL</v>
      </c>
      <c r="D136" s="49" t="str">
        <f>IF(LEFT(F136,6)="Header","",INDEX('Pricing (Drugs) SS'!$F:$F,MATCH(F136,'Pricing (Drugs) SS'!$A:$A,0)))</f>
        <v>50mL</v>
      </c>
      <c r="E136" s="51" t="str">
        <f>IF(LEFT(F136,6)="Header","",INDEX('Pricing (Drugs) SS'!$D:$D,MATCH(F136,'Pricing (Drugs) SS'!$A:$A,0)))</f>
        <v>0409-6729-24</v>
      </c>
      <c r="F136" s="119">
        <v>1010230</v>
      </c>
      <c r="G136" s="214" t="str">
        <f>IF(LEFT(F136,6)="Header","",INDEX('Standard Cart Pricing Formulas'!$N:$N,MATCH(F136,'Standard Cart Pricing Formulas'!$F:$F,0)))</f>
        <v/>
      </c>
      <c r="H136" s="269"/>
      <c r="I136" s="270"/>
      <c r="L136" s="16" t="str">
        <f>IF(O136="Header","",INDEX('Standard Cart Pricing Formulas'!$N:$N,MATCH(F136,'Standard Cart Pricing Formulas'!$F:$F,0)))</f>
        <v/>
      </c>
      <c r="M136" s="16" t="str">
        <f>IF(LEFT(F136,6)="Header","",INDEX('Standard Cart Pricing Formulas'!$M:$M,MATCH(F136,'Standard Cart Pricing Formulas'!$F:$F,0)))</f>
        <v/>
      </c>
      <c r="N136" s="262" cm="1">
        <f t="array" aca="1" ref="N136" ca="1">CELL("protect",A136)</f>
        <v>0</v>
      </c>
      <c r="O136" s="262" t="str">
        <f t="shared" si="5"/>
        <v>101023</v>
      </c>
      <c r="P136" s="262" t="str">
        <f t="shared" ca="1" si="4"/>
        <v>Good</v>
      </c>
      <c r="Q136" s="262" t="str">
        <f>IF(O136="header","",INDEX('Standard Cart Pricing Formulas'!$O:$O,MATCH(F136,'Standard Cart Pricing Formulas'!$F:$F,0)))</f>
        <v/>
      </c>
    </row>
    <row r="137" spans="1:17" ht="15" customHeight="1" x14ac:dyDescent="0.25">
      <c r="A137" s="48"/>
      <c r="B137" s="49" t="str">
        <f>INDEX('Pricing (Drugs) SS'!$B:$B,MATCH(F137,'Pricing (Drugs) SS'!$A:$A,0))</f>
        <v>50% MAGNESIUM SULFATE INJECTION, USP 5grams/10mL ANSYR SYR</v>
      </c>
      <c r="C137" s="50" t="str">
        <f>IF(LEFT(F137,6)="Header","",INDEX('Pricing (Drugs) SS'!$E:$E,MATCH(F137,'Pricing (Drugs) SS'!$A:$A,0)))</f>
        <v>5grams/10mL</v>
      </c>
      <c r="D137" s="49" t="str">
        <f>IF(LEFT(F137,6)="Header","",INDEX('Pricing (Drugs) SS'!$F:$F,MATCH(F137,'Pricing (Drugs) SS'!$A:$A,0)))</f>
        <v>10mL</v>
      </c>
      <c r="E137" s="51" t="str">
        <f>IF(LEFT(F137,6)="Header","",INDEX('Pricing (Drugs) SS'!$D:$D,MATCH(F137,'Pricing (Drugs) SS'!$A:$A,0)))</f>
        <v>0409-1754-10</v>
      </c>
      <c r="F137" s="119">
        <v>1000390</v>
      </c>
      <c r="G137" s="214" t="str">
        <f>IF(LEFT(F137,6)="Header","",INDEX('Standard Cart Pricing Formulas'!$N:$N,MATCH(F137,'Standard Cart Pricing Formulas'!$F:$F,0)))</f>
        <v/>
      </c>
      <c r="H137" s="269"/>
      <c r="I137" s="270"/>
      <c r="L137" s="16" t="str">
        <f>IF(O137="Header","",INDEX('Standard Cart Pricing Formulas'!$N:$N,MATCH(F137,'Standard Cart Pricing Formulas'!$F:$F,0)))</f>
        <v/>
      </c>
      <c r="M137" s="16" t="str">
        <f>IF(LEFT(F137,6)="Header","",INDEX('Standard Cart Pricing Formulas'!$M:$M,MATCH(F137,'Standard Cart Pricing Formulas'!$F:$F,0)))</f>
        <v/>
      </c>
      <c r="N137" s="262" cm="1">
        <f t="array" aca="1" ref="N137" ca="1">CELL("protect",A137)</f>
        <v>0</v>
      </c>
      <c r="O137" s="262" t="str">
        <f t="shared" si="5"/>
        <v>100039</v>
      </c>
      <c r="P137" s="262" t="str">
        <f t="shared" ca="1" si="4"/>
        <v>Good</v>
      </c>
      <c r="Q137" s="262" t="str">
        <f>IF(O137="header","",INDEX('Standard Cart Pricing Formulas'!$O:$O,MATCH(F137,'Standard Cart Pricing Formulas'!$F:$F,0)))</f>
        <v/>
      </c>
    </row>
    <row r="138" spans="1:17" ht="15" customHeight="1" x14ac:dyDescent="0.25">
      <c r="A138" s="118"/>
      <c r="B138" s="49" t="str">
        <f>INDEX('Pricing (Drugs) SS'!$B:$B,MATCH(F138,'Pricing (Drugs) SS'!$A:$A,0))</f>
        <v>MANNITOL</v>
      </c>
      <c r="C138" s="50" t="str">
        <f>IF(LEFT(F138,6)="Header","",INDEX('Pricing (Drugs) SS'!$E:$E,MATCH(F138,'Pricing (Drugs) SS'!$A:$A,0)))</f>
        <v/>
      </c>
      <c r="D138" s="49" t="str">
        <f>IF(LEFT(F138,6)="Header","",INDEX('Pricing (Drugs) SS'!$F:$F,MATCH(F138,'Pricing (Drugs) SS'!$A:$A,0)))</f>
        <v/>
      </c>
      <c r="E138" s="51" t="str">
        <f>IF(LEFT(F138,6)="Header","",INDEX('Pricing (Drugs) SS'!$D:$D,MATCH(F138,'Pricing (Drugs) SS'!$A:$A,0)))</f>
        <v/>
      </c>
      <c r="F138" s="119" t="s">
        <v>1575</v>
      </c>
      <c r="G138" s="214" t="str">
        <f>IF(LEFT(F138,6)="Header","",INDEX('Standard Cart Pricing Formulas'!$N:$N,MATCH(F138,'Standard Cart Pricing Formulas'!$F:$F,0)))</f>
        <v/>
      </c>
      <c r="H138" s="51"/>
      <c r="I138" s="272"/>
      <c r="L138" s="16" t="str">
        <f>IF(O138="Header","",INDEX('Standard Cart Pricing Formulas'!$N:$N,MATCH(F138,'Standard Cart Pricing Formulas'!$F:$F,0)))</f>
        <v/>
      </c>
      <c r="M138" s="16" t="str">
        <f>IF(LEFT(F138,6)="Header","",INDEX('Standard Cart Pricing Formulas'!$M:$M,MATCH(F138,'Standard Cart Pricing Formulas'!$F:$F,0)))</f>
        <v/>
      </c>
      <c r="N138" s="262" cm="1">
        <f t="array" aca="1" ref="N138" ca="1">CELL("protect",A138)</f>
        <v>1</v>
      </c>
      <c r="O138" s="262" t="str">
        <f t="shared" si="5"/>
        <v>HEADER</v>
      </c>
      <c r="P138" s="262" t="str">
        <f t="shared" ca="1" si="4"/>
        <v>Good</v>
      </c>
      <c r="Q138" s="262" t="str">
        <f>IF(O138="header","",INDEX('Standard Cart Pricing Formulas'!$O:$O,MATCH(F138,'Standard Cart Pricing Formulas'!$F:$F,0)))</f>
        <v/>
      </c>
    </row>
    <row r="139" spans="1:17" ht="15" customHeight="1" x14ac:dyDescent="0.25">
      <c r="A139" s="48"/>
      <c r="B139" s="49" t="str">
        <f>INDEX('Pricing (Drugs) SS'!$B:$B,MATCH(F139,'Pricing (Drugs) SS'!$A:$A,0))</f>
        <v>25% MANNITOL INJECTION, USP 12.5g/50mL (250mg/mL) 50mL VIAL</v>
      </c>
      <c r="C139" s="50" t="str">
        <f>IF(LEFT(F139,6)="Header","",INDEX('Pricing (Drugs) SS'!$E:$E,MATCH(F139,'Pricing (Drugs) SS'!$A:$A,0)))</f>
        <v>250mg/mL</v>
      </c>
      <c r="D139" s="49" t="str">
        <f>IF(LEFT(F139,6)="Header","",INDEX('Pricing (Drugs) SS'!$F:$F,MATCH(F139,'Pricing (Drugs) SS'!$A:$A,0)))</f>
        <v>50mL</v>
      </c>
      <c r="E139" s="51" t="str">
        <f>IF(LEFT(F139,6)="Header","",INDEX('Pricing (Drugs) SS'!$D:$D,MATCH(F139,'Pricing (Drugs) SS'!$A:$A,0)))</f>
        <v>0409-4031-01</v>
      </c>
      <c r="F139" s="119">
        <v>1012880</v>
      </c>
      <c r="G139" s="214" t="str">
        <f>IF(LEFT(F139,6)="Header","",INDEX('Standard Cart Pricing Formulas'!$N:$N,MATCH(F139,'Standard Cart Pricing Formulas'!$F:$F,0)))</f>
        <v/>
      </c>
      <c r="H139" s="269"/>
      <c r="I139" s="270"/>
      <c r="L139" s="16" t="str">
        <f>IF(O139="Header","",INDEX('Standard Cart Pricing Formulas'!$N:$N,MATCH(F139,'Standard Cart Pricing Formulas'!$F:$F,0)))</f>
        <v/>
      </c>
      <c r="M139" s="16" t="str">
        <f>IF(LEFT(F139,6)="Header","",INDEX('Standard Cart Pricing Formulas'!$M:$M,MATCH(F139,'Standard Cart Pricing Formulas'!$F:$F,0)))</f>
        <v/>
      </c>
      <c r="N139" s="262" cm="1">
        <f t="array" aca="1" ref="N139" ca="1">CELL("protect",A139)</f>
        <v>0</v>
      </c>
      <c r="O139" s="262" t="str">
        <f t="shared" si="5"/>
        <v>101288</v>
      </c>
      <c r="P139" s="262" t="str">
        <f t="shared" ca="1" si="4"/>
        <v>Good</v>
      </c>
      <c r="Q139" s="262" t="str">
        <f>IF(O139="header","",INDEX('Standard Cart Pricing Formulas'!$O:$O,MATCH(F139,'Standard Cart Pricing Formulas'!$F:$F,0)))</f>
        <v/>
      </c>
    </row>
    <row r="140" spans="1:17" ht="15" customHeight="1" x14ac:dyDescent="0.25">
      <c r="A140" s="118"/>
      <c r="B140" s="49" t="str">
        <f>INDEX('Pricing (Drugs) SS'!$B:$B,MATCH(F140,'Pricing (Drugs) SS'!$A:$A,0))</f>
        <v>METHYLPREDNISOLONE/ SOLU-MEDROL</v>
      </c>
      <c r="C140" s="50" t="str">
        <f>IF(LEFT(F140,6)="Header","",INDEX('Pricing (Drugs) SS'!$E:$E,MATCH(F140,'Pricing (Drugs) SS'!$A:$A,0)))</f>
        <v/>
      </c>
      <c r="D140" s="49" t="str">
        <f>IF(LEFT(F140,6)="Header","",INDEX('Pricing (Drugs) SS'!$F:$F,MATCH(F140,'Pricing (Drugs) SS'!$A:$A,0)))</f>
        <v/>
      </c>
      <c r="E140" s="51" t="str">
        <f>IF(LEFT(F140,6)="Header","",INDEX('Pricing (Drugs) SS'!$D:$D,MATCH(F140,'Pricing (Drugs) SS'!$A:$A,0)))</f>
        <v/>
      </c>
      <c r="F140" s="119" t="s">
        <v>1576</v>
      </c>
      <c r="G140" s="214" t="str">
        <f>IF(LEFT(F140,6)="Header","",INDEX('Standard Cart Pricing Formulas'!$N:$N,MATCH(F140,'Standard Cart Pricing Formulas'!$F:$F,0)))</f>
        <v/>
      </c>
      <c r="H140" s="51"/>
      <c r="I140" s="272"/>
      <c r="L140" s="16" t="str">
        <f>IF(O140="Header","",INDEX('Standard Cart Pricing Formulas'!$N:$N,MATCH(F140,'Standard Cart Pricing Formulas'!$F:$F,0)))</f>
        <v/>
      </c>
      <c r="M140" s="16" t="str">
        <f>IF(LEFT(F140,6)="Header","",INDEX('Standard Cart Pricing Formulas'!$M:$M,MATCH(F140,'Standard Cart Pricing Formulas'!$F:$F,0)))</f>
        <v/>
      </c>
      <c r="N140" s="262" cm="1">
        <f t="array" aca="1" ref="N140" ca="1">CELL("protect",A140)</f>
        <v>1</v>
      </c>
      <c r="O140" s="262" t="str">
        <f t="shared" ref="O140:O171" si="6">LEFT(F140,6)</f>
        <v>HEADER</v>
      </c>
      <c r="P140" s="262" t="str">
        <f t="shared" ca="1" si="4"/>
        <v>Good</v>
      </c>
      <c r="Q140" s="262" t="str">
        <f>IF(O140="header","",INDEX('Standard Cart Pricing Formulas'!$O:$O,MATCH(F140,'Standard Cart Pricing Formulas'!$F:$F,0)))</f>
        <v/>
      </c>
    </row>
    <row r="141" spans="1:17" ht="15" customHeight="1" x14ac:dyDescent="0.25">
      <c r="A141" s="48"/>
      <c r="B141" s="49" t="str">
        <f>INDEX('Pricing (Drugs) SS'!$B:$B,MATCH(F141,'Pricing (Drugs) SS'!$A:$A,0))</f>
        <v>SOLU-MEDROL® 40MG PER VIAL 1mL ACT-O-VIAL®</v>
      </c>
      <c r="C141" s="50" t="str">
        <f>IF(LEFT(F141,6)="Header","",INDEX('Pricing (Drugs) SS'!$E:$E,MATCH(F141,'Pricing (Drugs) SS'!$A:$A,0)))</f>
        <v>40mg</v>
      </c>
      <c r="D141" s="49" t="str">
        <f>IF(LEFT(F141,6)="Header","",INDEX('Pricing (Drugs) SS'!$F:$F,MATCH(F141,'Pricing (Drugs) SS'!$A:$A,0)))</f>
        <v>1mL</v>
      </c>
      <c r="E141" s="51" t="str">
        <f>IF(LEFT(F141,6)="Header","",INDEX('Pricing (Drugs) SS'!$D:$D,MATCH(F141,'Pricing (Drugs) SS'!$A:$A,0)))</f>
        <v>0009-0039-28</v>
      </c>
      <c r="F141" s="119">
        <v>1000670</v>
      </c>
      <c r="G141" s="214" t="str">
        <f>IF(LEFT(F141,6)="Header","",INDEX('Standard Cart Pricing Formulas'!$N:$N,MATCH(F141,'Standard Cart Pricing Formulas'!$F:$F,0)))</f>
        <v/>
      </c>
      <c r="H141" s="269"/>
      <c r="I141" s="270"/>
      <c r="L141" s="16" t="str">
        <f>IF(O141="Header","",INDEX('Standard Cart Pricing Formulas'!$N:$N,MATCH(F141,'Standard Cart Pricing Formulas'!$F:$F,0)))</f>
        <v/>
      </c>
      <c r="M141" s="16" t="str">
        <f>IF(LEFT(F141,6)="Header","",INDEX('Standard Cart Pricing Formulas'!$M:$M,MATCH(F141,'Standard Cart Pricing Formulas'!$F:$F,0)))</f>
        <v/>
      </c>
      <c r="N141" s="262" cm="1">
        <f t="array" aca="1" ref="N141" ca="1">CELL("protect",A141)</f>
        <v>0</v>
      </c>
      <c r="O141" s="262" t="str">
        <f t="shared" si="6"/>
        <v>100067</v>
      </c>
      <c r="P141" s="262" t="str">
        <f t="shared" ref="P141:P204" ca="1" si="7">IF(AND(N141=1,O141="header"),"Good",IF(AND(O141&lt;&gt;"Header",N141=0),"Good","Bad"))</f>
        <v>Good</v>
      </c>
      <c r="Q141" s="262" t="str">
        <f>IF(O141="header","",INDEX('Standard Cart Pricing Formulas'!$O:$O,MATCH(F141,'Standard Cart Pricing Formulas'!$F:$F,0)))</f>
        <v/>
      </c>
    </row>
    <row r="142" spans="1:17" ht="15" customHeight="1" x14ac:dyDescent="0.25">
      <c r="A142" s="48"/>
      <c r="B142" s="49" t="str">
        <f>INDEX('Pricing (Drugs) SS'!$B:$B,MATCH(F142,'Pricing (Drugs) SS'!$A:$A,0))</f>
        <v>SOLU-MEDROL® 125MG PER VIAL 2mL ACT-O-VIAL®</v>
      </c>
      <c r="C142" s="50" t="str">
        <f>IF(LEFT(F142,6)="Header","",INDEX('Pricing (Drugs) SS'!$E:$E,MATCH(F142,'Pricing (Drugs) SS'!$A:$A,0)))</f>
        <v>125mg</v>
      </c>
      <c r="D142" s="49" t="str">
        <f>IF(LEFT(F142,6)="Header","",INDEX('Pricing (Drugs) SS'!$F:$F,MATCH(F142,'Pricing (Drugs) SS'!$A:$A,0)))</f>
        <v>2mL</v>
      </c>
      <c r="E142" s="51" t="str">
        <f>IF(LEFT(F142,6)="Header","",INDEX('Pricing (Drugs) SS'!$D:$D,MATCH(F142,'Pricing (Drugs) SS'!$A:$A,0)))</f>
        <v>0009-0047-22</v>
      </c>
      <c r="F142" s="119">
        <v>1000660</v>
      </c>
      <c r="G142" s="214" t="str">
        <f>IF(LEFT(F142,6)="Header","",INDEX('Standard Cart Pricing Formulas'!$N:$N,MATCH(F142,'Standard Cart Pricing Formulas'!$F:$F,0)))</f>
        <v/>
      </c>
      <c r="H142" s="269"/>
      <c r="I142" s="270"/>
      <c r="L142" s="16" t="str">
        <f>IF(O142="Header","",INDEX('Standard Cart Pricing Formulas'!$N:$N,MATCH(F142,'Standard Cart Pricing Formulas'!$F:$F,0)))</f>
        <v/>
      </c>
      <c r="M142" s="16" t="str">
        <f>IF(LEFT(F142,6)="Header","",INDEX('Standard Cart Pricing Formulas'!$M:$M,MATCH(F142,'Standard Cart Pricing Formulas'!$F:$F,0)))</f>
        <v/>
      </c>
      <c r="N142" s="262" cm="1">
        <f t="array" aca="1" ref="N142" ca="1">CELL("protect",A142)</f>
        <v>0</v>
      </c>
      <c r="O142" s="262" t="str">
        <f t="shared" si="6"/>
        <v>100066</v>
      </c>
      <c r="P142" s="262" t="str">
        <f t="shared" ca="1" si="7"/>
        <v>Good</v>
      </c>
      <c r="Q142" s="262" t="str">
        <f>IF(O142="header","",INDEX('Standard Cart Pricing Formulas'!$O:$O,MATCH(F142,'Standard Cart Pricing Formulas'!$F:$F,0)))</f>
        <v/>
      </c>
    </row>
    <row r="143" spans="1:17" ht="15" customHeight="1" x14ac:dyDescent="0.25">
      <c r="A143" s="118"/>
      <c r="B143" s="49" t="str">
        <f>INDEX('Pricing (Drugs) SS'!$B:$B,MATCH(F143,'Pricing (Drugs) SS'!$A:$A,0))</f>
        <v>METOCLOPRAMIDE</v>
      </c>
      <c r="C143" s="50" t="str">
        <f>IF(LEFT(F143,6)="Header","",INDEX('Pricing (Drugs) SS'!$E:$E,MATCH(F143,'Pricing (Drugs) SS'!$A:$A,0)))</f>
        <v/>
      </c>
      <c r="D143" s="49" t="str">
        <f>IF(LEFT(F143,6)="Header","",INDEX('Pricing (Drugs) SS'!$F:$F,MATCH(F143,'Pricing (Drugs) SS'!$A:$A,0)))</f>
        <v/>
      </c>
      <c r="E143" s="51" t="str">
        <f>IF(LEFT(F143,6)="Header","",INDEX('Pricing (Drugs) SS'!$D:$D,MATCH(F143,'Pricing (Drugs) SS'!$A:$A,0)))</f>
        <v/>
      </c>
      <c r="F143" s="119" t="s">
        <v>1577</v>
      </c>
      <c r="G143" s="214" t="str">
        <f>IF(LEFT(F143,6)="Header","",INDEX('Standard Cart Pricing Formulas'!$N:$N,MATCH(F143,'Standard Cart Pricing Formulas'!$F:$F,0)))</f>
        <v/>
      </c>
      <c r="H143" s="51"/>
      <c r="I143" s="272"/>
      <c r="L143" s="16" t="str">
        <f>IF(O143="Header","",INDEX('Standard Cart Pricing Formulas'!$N:$N,MATCH(F143,'Standard Cart Pricing Formulas'!$F:$F,0)))</f>
        <v/>
      </c>
      <c r="M143" s="16" t="str">
        <f>IF(LEFT(F143,6)="Header","",INDEX('Standard Cart Pricing Formulas'!$M:$M,MATCH(F143,'Standard Cart Pricing Formulas'!$F:$F,0)))</f>
        <v/>
      </c>
      <c r="N143" s="262" cm="1">
        <f t="array" aca="1" ref="N143" ca="1">CELL("protect",A143)</f>
        <v>1</v>
      </c>
      <c r="O143" s="262" t="str">
        <f t="shared" si="6"/>
        <v>HEADER</v>
      </c>
      <c r="P143" s="262" t="str">
        <f t="shared" ca="1" si="7"/>
        <v>Good</v>
      </c>
      <c r="Q143" s="262" t="str">
        <f>IF(O143="header","",INDEX('Standard Cart Pricing Formulas'!$O:$O,MATCH(F143,'Standard Cart Pricing Formulas'!$F:$F,0)))</f>
        <v/>
      </c>
    </row>
    <row r="144" spans="1:17" ht="15" customHeight="1" x14ac:dyDescent="0.25">
      <c r="A144" s="48"/>
      <c r="B144" s="49" t="str">
        <f>INDEX('Pricing (Drugs) SS'!$B:$B,MATCH(F144,'Pricing (Drugs) SS'!$A:$A,0))</f>
        <v>METOCLOPRAMIDE INJECTION, USP 10mg/2mL (5mg/mL) 2mL VIAL</v>
      </c>
      <c r="C144" s="50" t="str">
        <f>IF(LEFT(F144,6)="Header","",INDEX('Pricing (Drugs) SS'!$E:$E,MATCH(F144,'Pricing (Drugs) SS'!$A:$A,0)))</f>
        <v>5mg/mL</v>
      </c>
      <c r="D144" s="49" t="str">
        <f>IF(LEFT(F144,6)="Header","",INDEX('Pricing (Drugs) SS'!$F:$F,MATCH(F144,'Pricing (Drugs) SS'!$A:$A,0)))</f>
        <v>2mL</v>
      </c>
      <c r="E144" s="51" t="str">
        <f>IF(LEFT(F144,6)="Header","",INDEX('Pricing (Drugs) SS'!$D:$D,MATCH(F144,'Pricing (Drugs) SS'!$A:$A,0)))</f>
        <v>0409-3414-11</v>
      </c>
      <c r="F144" s="119">
        <v>1024070</v>
      </c>
      <c r="G144" s="214" t="str">
        <f>IF(LEFT(F144,6)="Header","",INDEX('Standard Cart Pricing Formulas'!$N:$N,MATCH(F144,'Standard Cart Pricing Formulas'!$F:$F,0)))</f>
        <v/>
      </c>
      <c r="H144" s="269"/>
      <c r="I144" s="270"/>
      <c r="L144" s="16" t="str">
        <f>IF(O144="Header","",INDEX('Standard Cart Pricing Formulas'!$N:$N,MATCH(F144,'Standard Cart Pricing Formulas'!$F:$F,0)))</f>
        <v/>
      </c>
      <c r="M144" s="16" t="str">
        <f>IF(LEFT(F144,6)="Header","",INDEX('Standard Cart Pricing Formulas'!$M:$M,MATCH(F144,'Standard Cart Pricing Formulas'!$F:$F,0)))</f>
        <v/>
      </c>
      <c r="N144" s="262" cm="1">
        <f t="array" aca="1" ref="N144" ca="1">CELL("protect",A144)</f>
        <v>0</v>
      </c>
      <c r="O144" s="262" t="str">
        <f t="shared" si="6"/>
        <v>102407</v>
      </c>
      <c r="P144" s="262" t="str">
        <f t="shared" ca="1" si="7"/>
        <v>Good</v>
      </c>
      <c r="Q144" s="262" t="str">
        <f>IF(O144="header","",INDEX('Standard Cart Pricing Formulas'!$O:$O,MATCH(F144,'Standard Cart Pricing Formulas'!$F:$F,0)))</f>
        <v/>
      </c>
    </row>
    <row r="145" spans="1:17" ht="15" customHeight="1" x14ac:dyDescent="0.25">
      <c r="A145" s="118"/>
      <c r="B145" s="49" t="str">
        <f>INDEX('Pricing (Drugs) SS'!$B:$B,MATCH(F145,'Pricing (Drugs) SS'!$A:$A,0))</f>
        <v>NALBUPHINE/NUBAIN</v>
      </c>
      <c r="C145" s="50" t="str">
        <f>IF(LEFT(F145,6)="Header","",INDEX('Pricing (Drugs) SS'!$E:$E,MATCH(F145,'Pricing (Drugs) SS'!$A:$A,0)))</f>
        <v/>
      </c>
      <c r="D145" s="49" t="str">
        <f>IF(LEFT(F145,6)="Header","",INDEX('Pricing (Drugs) SS'!$F:$F,MATCH(F145,'Pricing (Drugs) SS'!$A:$A,0)))</f>
        <v/>
      </c>
      <c r="E145" s="51" t="str">
        <f>IF(LEFT(F145,6)="Header","",INDEX('Pricing (Drugs) SS'!$D:$D,MATCH(F145,'Pricing (Drugs) SS'!$A:$A,0)))</f>
        <v/>
      </c>
      <c r="F145" s="119" t="s">
        <v>1578</v>
      </c>
      <c r="G145" s="214" t="str">
        <f>IF(LEFT(F145,6)="Header","",INDEX('Standard Cart Pricing Formulas'!$N:$N,MATCH(F145,'Standard Cart Pricing Formulas'!$F:$F,0)))</f>
        <v/>
      </c>
      <c r="H145" s="51"/>
      <c r="I145" s="272"/>
      <c r="L145" s="16" t="str">
        <f>IF(O145="Header","",INDEX('Standard Cart Pricing Formulas'!$N:$N,MATCH(F145,'Standard Cart Pricing Formulas'!$F:$F,0)))</f>
        <v/>
      </c>
      <c r="M145" s="16" t="str">
        <f>IF(LEFT(F145,6)="Header","",INDEX('Standard Cart Pricing Formulas'!$M:$M,MATCH(F145,'Standard Cart Pricing Formulas'!$F:$F,0)))</f>
        <v/>
      </c>
      <c r="N145" s="262" cm="1">
        <f t="array" aca="1" ref="N145" ca="1">CELL("protect",A145)</f>
        <v>1</v>
      </c>
      <c r="O145" s="262" t="str">
        <f t="shared" si="6"/>
        <v>HEADER</v>
      </c>
      <c r="P145" s="262" t="str">
        <f t="shared" ca="1" si="7"/>
        <v>Good</v>
      </c>
      <c r="Q145" s="262" t="str">
        <f>IF(O145="header","",INDEX('Standard Cart Pricing Formulas'!$O:$O,MATCH(F145,'Standard Cart Pricing Formulas'!$F:$F,0)))</f>
        <v/>
      </c>
    </row>
    <row r="146" spans="1:17" ht="15" customHeight="1" x14ac:dyDescent="0.25">
      <c r="A146" s="48"/>
      <c r="B146" s="49" t="str">
        <f>INDEX('Pricing (Drugs) SS'!$B:$B,MATCH(F146,'Pricing (Drugs) SS'!$A:$A,0))</f>
        <v>NALBUPHINE HCI INJ. 10mg/mL 10mL VIAL</v>
      </c>
      <c r="C146" s="50" t="str">
        <f>IF(LEFT(F146,6)="Header","",INDEX('Pricing (Drugs) SS'!$E:$E,MATCH(F146,'Pricing (Drugs) SS'!$A:$A,0)))</f>
        <v>10mg/mL</v>
      </c>
      <c r="D146" s="49" t="str">
        <f>IF(LEFT(F146,6)="Header","",INDEX('Pricing (Drugs) SS'!$F:$F,MATCH(F146,'Pricing (Drugs) SS'!$A:$A,0)))</f>
        <v>10mL</v>
      </c>
      <c r="E146" s="51" t="str">
        <f>IF(LEFT(F146,6)="Header","",INDEX('Pricing (Drugs) SS'!$D:$D,MATCH(F146,'Pricing (Drugs) SS'!$A:$A,0)))</f>
        <v>0409-1464-01</v>
      </c>
      <c r="F146" s="119">
        <v>1011850</v>
      </c>
      <c r="G146" s="214" t="str">
        <f>IF(LEFT(F146,6)="Header","",INDEX('Standard Cart Pricing Formulas'!$N:$N,MATCH(F146,'Standard Cart Pricing Formulas'!$F:$F,0)))</f>
        <v/>
      </c>
      <c r="H146" s="269"/>
      <c r="I146" s="270"/>
      <c r="L146" s="16" t="str">
        <f>IF(O146="Header","",INDEX('Standard Cart Pricing Formulas'!$N:$N,MATCH(F146,'Standard Cart Pricing Formulas'!$F:$F,0)))</f>
        <v/>
      </c>
      <c r="M146" s="16" t="str">
        <f>IF(LEFT(F146,6)="Header","",INDEX('Standard Cart Pricing Formulas'!$M:$M,MATCH(F146,'Standard Cart Pricing Formulas'!$F:$F,0)))</f>
        <v/>
      </c>
      <c r="N146" s="262" cm="1">
        <f t="array" aca="1" ref="N146" ca="1">CELL("protect",A146)</f>
        <v>0</v>
      </c>
      <c r="O146" s="262" t="str">
        <f t="shared" si="6"/>
        <v>101185</v>
      </c>
      <c r="P146" s="262" t="str">
        <f t="shared" ca="1" si="7"/>
        <v>Good</v>
      </c>
      <c r="Q146" s="262" t="str">
        <f>IF(O146="header","",INDEX('Standard Cart Pricing Formulas'!$O:$O,MATCH(F146,'Standard Cart Pricing Formulas'!$F:$F,0)))</f>
        <v/>
      </c>
    </row>
    <row r="147" spans="1:17" ht="15" customHeight="1" x14ac:dyDescent="0.25">
      <c r="A147" s="118"/>
      <c r="B147" s="49" t="str">
        <f>INDEX('Pricing (Drugs) SS'!$B:$B,MATCH(F147,'Pricing (Drugs) SS'!$A:$A,0))</f>
        <v>NALOXONE</v>
      </c>
      <c r="C147" s="50" t="str">
        <f>IF(LEFT(F147,6)="Header","",INDEX('Pricing (Drugs) SS'!$E:$E,MATCH(F147,'Pricing (Drugs) SS'!$A:$A,0)))</f>
        <v/>
      </c>
      <c r="D147" s="49" t="str">
        <f>IF(LEFT(F147,6)="Header","",INDEX('Pricing (Drugs) SS'!$F:$F,MATCH(F147,'Pricing (Drugs) SS'!$A:$A,0)))</f>
        <v/>
      </c>
      <c r="E147" s="51" t="str">
        <f>IF(LEFT(F147,6)="Header","",INDEX('Pricing (Drugs) SS'!$D:$D,MATCH(F147,'Pricing (Drugs) SS'!$A:$A,0)))</f>
        <v/>
      </c>
      <c r="F147" s="119" t="s">
        <v>1579</v>
      </c>
      <c r="G147" s="214" t="str">
        <f>IF(LEFT(F147,6)="Header","",INDEX('Standard Cart Pricing Formulas'!$N:$N,MATCH(F147,'Standard Cart Pricing Formulas'!$F:$F,0)))</f>
        <v/>
      </c>
      <c r="H147" s="51"/>
      <c r="I147" s="272"/>
      <c r="L147" s="16" t="str">
        <f>IF(O147="Header","",INDEX('Standard Cart Pricing Formulas'!$N:$N,MATCH(F147,'Standard Cart Pricing Formulas'!$F:$F,0)))</f>
        <v/>
      </c>
      <c r="M147" s="16" t="str">
        <f>IF(LEFT(F147,6)="Header","",INDEX('Standard Cart Pricing Formulas'!$M:$M,MATCH(F147,'Standard Cart Pricing Formulas'!$F:$F,0)))</f>
        <v/>
      </c>
      <c r="N147" s="262" cm="1">
        <f t="array" aca="1" ref="N147" ca="1">CELL("protect",A147)</f>
        <v>1</v>
      </c>
      <c r="O147" s="262" t="str">
        <f t="shared" si="6"/>
        <v>HEADER</v>
      </c>
      <c r="P147" s="262" t="str">
        <f t="shared" ca="1" si="7"/>
        <v>Good</v>
      </c>
      <c r="Q147" s="262" t="str">
        <f>IF(O147="header","",INDEX('Standard Cart Pricing Formulas'!$O:$O,MATCH(F147,'Standard Cart Pricing Formulas'!$F:$F,0)))</f>
        <v/>
      </c>
    </row>
    <row r="148" spans="1:17" ht="15" customHeight="1" x14ac:dyDescent="0.25">
      <c r="A148" s="48"/>
      <c r="B148" s="49" t="str">
        <f>INDEX('Pricing (Drugs) SS'!$B:$B,MATCH(F148,'Pricing (Drugs) SS'!$A:$A,0))</f>
        <v>NALOXONE HCl INJECTION, USP 0.4mg/mL 1mL VIAL</v>
      </c>
      <c r="C148" s="50" t="str">
        <f>IF(LEFT(F148,6)="Header","",INDEX('Pricing (Drugs) SS'!$E:$E,MATCH(F148,'Pricing (Drugs) SS'!$A:$A,0)))</f>
        <v>0.4mg/mL</v>
      </c>
      <c r="D148" s="49" t="str">
        <f>IF(LEFT(F148,6)="Header","",INDEX('Pricing (Drugs) SS'!$F:$F,MATCH(F148,'Pricing (Drugs) SS'!$A:$A,0)))</f>
        <v>1mL</v>
      </c>
      <c r="E148" s="51" t="str">
        <f>IF(LEFT(F148,6)="Header","",INDEX('Pricing (Drugs) SS'!$D:$D,MATCH(F148,'Pricing (Drugs) SS'!$A:$A,0)))</f>
        <v>0641-6132-25</v>
      </c>
      <c r="F148" s="119">
        <v>1024160</v>
      </c>
      <c r="G148" s="214" t="str">
        <f>IF(LEFT(F148,6)="Header","",INDEX('Standard Cart Pricing Formulas'!$N:$N,MATCH(F148,'Standard Cart Pricing Formulas'!$F:$F,0)))</f>
        <v/>
      </c>
      <c r="H148" s="269"/>
      <c r="I148" s="270"/>
      <c r="L148" s="16" t="str">
        <f>IF(O148="Header","",INDEX('Standard Cart Pricing Formulas'!$N:$N,MATCH(F148,'Standard Cart Pricing Formulas'!$F:$F,0)))</f>
        <v/>
      </c>
      <c r="M148" s="16" t="str">
        <f>IF(LEFT(F148,6)="Header","",INDEX('Standard Cart Pricing Formulas'!$M:$M,MATCH(F148,'Standard Cart Pricing Formulas'!$F:$F,0)))</f>
        <v/>
      </c>
      <c r="N148" s="262" cm="1">
        <f t="array" aca="1" ref="N148" ca="1">CELL("protect",A148)</f>
        <v>0</v>
      </c>
      <c r="O148" s="262" t="str">
        <f t="shared" si="6"/>
        <v>102416</v>
      </c>
      <c r="P148" s="262" t="str">
        <f t="shared" ca="1" si="7"/>
        <v>Good</v>
      </c>
      <c r="Q148" s="262" t="str">
        <f>IF(O148="header","",INDEX('Standard Cart Pricing Formulas'!$O:$O,MATCH(F148,'Standard Cart Pricing Formulas'!$F:$F,0)))</f>
        <v/>
      </c>
    </row>
    <row r="149" spans="1:17" ht="15" customHeight="1" x14ac:dyDescent="0.25">
      <c r="A149" s="48"/>
      <c r="B149" s="49" t="str">
        <f>INDEX('Pricing (Drugs) SS'!$B:$B,MATCH(F149,'Pricing (Drugs) SS'!$A:$A,0))</f>
        <v>NALOXONE HYDROCHLORIDE INJECTION, USP 0.4mg/mL 10mL VIAL</v>
      </c>
      <c r="C149" s="50" t="str">
        <f>IF(LEFT(F149,6)="Header","",INDEX('Pricing (Drugs) SS'!$E:$E,MATCH(F149,'Pricing (Drugs) SS'!$A:$A,0)))</f>
        <v>0.4mg/mL</v>
      </c>
      <c r="D149" s="49" t="str">
        <f>IF(LEFT(F149,6)="Header","",INDEX('Pricing (Drugs) SS'!$F:$F,MATCH(F149,'Pricing (Drugs) SS'!$A:$A,0)))</f>
        <v>10mL</v>
      </c>
      <c r="E149" s="51" t="str">
        <f>IF(LEFT(F149,6)="Header","",INDEX('Pricing (Drugs) SS'!$D:$D,MATCH(F149,'Pricing (Drugs) SS'!$A:$A,0)))</f>
        <v>0409-1219-01</v>
      </c>
      <c r="F149" s="119">
        <v>1011800</v>
      </c>
      <c r="G149" s="214" t="str">
        <f>IF(LEFT(F149,6)="Header","",INDEX('Standard Cart Pricing Formulas'!$N:$N,MATCH(F149,'Standard Cart Pricing Formulas'!$F:$F,0)))</f>
        <v/>
      </c>
      <c r="H149" s="269"/>
      <c r="I149" s="270"/>
      <c r="L149" s="16" t="str">
        <f>IF(O149="Header","",INDEX('Standard Cart Pricing Formulas'!$N:$N,MATCH(F149,'Standard Cart Pricing Formulas'!$F:$F,0)))</f>
        <v/>
      </c>
      <c r="M149" s="16" t="str">
        <f>IF(LEFT(F149,6)="Header","",INDEX('Standard Cart Pricing Formulas'!$M:$M,MATCH(F149,'Standard Cart Pricing Formulas'!$F:$F,0)))</f>
        <v/>
      </c>
      <c r="N149" s="262" cm="1">
        <f t="array" aca="1" ref="N149" ca="1">CELL("protect",A149)</f>
        <v>0</v>
      </c>
      <c r="O149" s="262" t="str">
        <f t="shared" si="6"/>
        <v>101180</v>
      </c>
      <c r="P149" s="262" t="str">
        <f t="shared" ca="1" si="7"/>
        <v>Good</v>
      </c>
      <c r="Q149" s="262" t="str">
        <f>IF(O149="header","",INDEX('Standard Cart Pricing Formulas'!$O:$O,MATCH(F149,'Standard Cart Pricing Formulas'!$F:$F,0)))</f>
        <v/>
      </c>
    </row>
    <row r="150" spans="1:17" ht="15" customHeight="1" x14ac:dyDescent="0.25">
      <c r="A150" s="48"/>
      <c r="B150" s="49" t="str">
        <f>INDEX('Pricing (Drugs) SS'!$B:$B,MATCH(F150,'Pricing (Drugs) SS'!$A:$A,0))</f>
        <v>NALOXONE HCI INJECTION, USP 4mg PER 10mL (0.4mg/mL) 10mL VIAL BOXED</v>
      </c>
      <c r="C150" s="50" t="str">
        <f>IF(LEFT(F150,6)="Header","",INDEX('Pricing (Drugs) SS'!$E:$E,MATCH(F150,'Pricing (Drugs) SS'!$A:$A,0)))</f>
        <v>0.4mg/mL</v>
      </c>
      <c r="D150" s="49" t="str">
        <f>IF(LEFT(F150,6)="Header","",INDEX('Pricing (Drugs) SS'!$F:$F,MATCH(F150,'Pricing (Drugs) SS'!$A:$A,0)))</f>
        <v>10mL</v>
      </c>
      <c r="E150" s="51" t="str">
        <f>IF(LEFT(F150,6)="Header","",INDEX('Pricing (Drugs) SS'!$D:$D,MATCH(F150,'Pricing (Drugs) SS'!$A:$A,0)))</f>
        <v>70069-072-10</v>
      </c>
      <c r="F150" s="119">
        <v>1024630</v>
      </c>
      <c r="G150" s="214" t="str">
        <f>IF(LEFT(F150,6)="Header","",INDEX('Standard Cart Pricing Formulas'!$N:$N,MATCH(F150,'Standard Cart Pricing Formulas'!$F:$F,0)))</f>
        <v/>
      </c>
      <c r="H150" s="269"/>
      <c r="I150" s="270"/>
      <c r="L150" s="16" t="str">
        <f>IF(O150="Header","",INDEX('Standard Cart Pricing Formulas'!$N:$N,MATCH(F150,'Standard Cart Pricing Formulas'!$F:$F,0)))</f>
        <v/>
      </c>
      <c r="M150" s="16" t="str">
        <f>IF(LEFT(F150,6)="Header","",INDEX('Standard Cart Pricing Formulas'!$M:$M,MATCH(F150,'Standard Cart Pricing Formulas'!$F:$F,0)))</f>
        <v/>
      </c>
      <c r="N150" s="262" cm="1">
        <f t="array" aca="1" ref="N150" ca="1">CELL("protect",A150)</f>
        <v>0</v>
      </c>
      <c r="O150" s="262" t="str">
        <f t="shared" si="6"/>
        <v>102463</v>
      </c>
      <c r="P150" s="262" t="str">
        <f t="shared" ca="1" si="7"/>
        <v>Good</v>
      </c>
      <c r="Q150" s="262" t="str">
        <f>IF(O150="header","",INDEX('Standard Cart Pricing Formulas'!$O:$O,MATCH(F150,'Standard Cart Pricing Formulas'!$F:$F,0)))</f>
        <v/>
      </c>
    </row>
    <row r="151" spans="1:17" ht="15" customHeight="1" x14ac:dyDescent="0.25">
      <c r="A151" s="48"/>
      <c r="B151" s="49" t="str">
        <f>INDEX('Pricing (Drugs) SS'!$B:$B,MATCH(F151,'Pricing (Drugs) SS'!$A:$A,0))</f>
        <v>NALOXONE HYDROCHLORIDE INJECTION, USP 2mg PER 2mL (1mg/mL) 2mL SYR</v>
      </c>
      <c r="C151" s="50" t="str">
        <f>IF(LEFT(F151,6)="Header","",INDEX('Pricing (Drugs) SS'!$E:$E,MATCH(F151,'Pricing (Drugs) SS'!$A:$A,0)))</f>
        <v>1mg/mL</v>
      </c>
      <c r="D151" s="49" t="str">
        <f>IF(LEFT(F151,6)="Header","",INDEX('Pricing (Drugs) SS'!$F:$F,MATCH(F151,'Pricing (Drugs) SS'!$A:$A,0)))</f>
        <v>2mL</v>
      </c>
      <c r="E151" s="51" t="str">
        <f>IF(LEFT(F151,6)="Header","",INDEX('Pricing (Drugs) SS'!$D:$D,MATCH(F151,'Pricing (Drugs) SS'!$A:$A,0)))</f>
        <v>55150-345-10</v>
      </c>
      <c r="F151" s="119">
        <v>1017790</v>
      </c>
      <c r="G151" s="214" t="str">
        <f>IF(LEFT(F151,6)="Header","",INDEX('Standard Cart Pricing Formulas'!$N:$N,MATCH(F151,'Standard Cart Pricing Formulas'!$F:$F,0)))</f>
        <v/>
      </c>
      <c r="H151" s="269"/>
      <c r="I151" s="270"/>
      <c r="L151" s="16" t="str">
        <f>IF(O151="Header","",INDEX('Standard Cart Pricing Formulas'!$N:$N,MATCH(F151,'Standard Cart Pricing Formulas'!$F:$F,0)))</f>
        <v/>
      </c>
      <c r="M151" s="16" t="str">
        <f>IF(LEFT(F151,6)="Header","",INDEX('Standard Cart Pricing Formulas'!$M:$M,MATCH(F151,'Standard Cart Pricing Formulas'!$F:$F,0)))</f>
        <v/>
      </c>
      <c r="N151" s="262" cm="1">
        <f t="array" aca="1" ref="N151" ca="1">CELL("protect",A151)</f>
        <v>0</v>
      </c>
      <c r="O151" s="262" t="str">
        <f t="shared" si="6"/>
        <v>101779</v>
      </c>
      <c r="P151" s="262" t="str">
        <f t="shared" ca="1" si="7"/>
        <v>Good</v>
      </c>
      <c r="Q151" s="262" t="str">
        <f>IF(O151="header","",INDEX('Standard Cart Pricing Formulas'!$O:$O,MATCH(F151,'Standard Cart Pricing Formulas'!$F:$F,0)))</f>
        <v/>
      </c>
    </row>
    <row r="152" spans="1:17" ht="15" customHeight="1" x14ac:dyDescent="0.25">
      <c r="A152" s="48"/>
      <c r="B152" s="49" t="str">
        <f>INDEX('Pricing (Drugs) SS'!$B:$B,MATCH(F152,'Pricing (Drugs) SS'!$A:$A,0))</f>
        <v>NARCAN NALOXONE HCI NASAL SPRAY 4mg/.1mL 2-PACK</v>
      </c>
      <c r="C152" s="50" t="str">
        <f>IF(LEFT(F152,6)="Header","",INDEX('Pricing (Drugs) SS'!$E:$E,MATCH(F152,'Pricing (Drugs) SS'!$A:$A,0)))</f>
        <v>4mg/.1mL</v>
      </c>
      <c r="D152" s="49" t="str">
        <f>IF(LEFT(F152,6)="Header","",INDEX('Pricing (Drugs) SS'!$F:$F,MATCH(F152,'Pricing (Drugs) SS'!$A:$A,0)))</f>
        <v>0.1mL</v>
      </c>
      <c r="E152" s="51" t="str">
        <f>IF(LEFT(F152,6)="Header","",INDEX('Pricing (Drugs) SS'!$D:$D,MATCH(F152,'Pricing (Drugs) SS'!$A:$A,0)))</f>
        <v>69547-627-02</v>
      </c>
      <c r="F152" s="119">
        <v>1021770</v>
      </c>
      <c r="G152" s="214" t="str">
        <f>IF(LEFT(F152,6)="Header","",INDEX('Standard Cart Pricing Formulas'!$N:$N,MATCH(F152,'Standard Cart Pricing Formulas'!$F:$F,0)))</f>
        <v/>
      </c>
      <c r="H152" s="269"/>
      <c r="I152" s="270"/>
      <c r="L152" s="16" t="str">
        <f>IF(O152="Header","",INDEX('Standard Cart Pricing Formulas'!$N:$N,MATCH(F152,'Standard Cart Pricing Formulas'!$F:$F,0)))</f>
        <v/>
      </c>
      <c r="M152" s="16" t="str">
        <f>IF(LEFT(F152,6)="Header","",INDEX('Standard Cart Pricing Formulas'!$M:$M,MATCH(F152,'Standard Cart Pricing Formulas'!$F:$F,0)))</f>
        <v/>
      </c>
      <c r="N152" s="262" cm="1">
        <f t="array" aca="1" ref="N152" ca="1">CELL("protect",A152)</f>
        <v>0</v>
      </c>
      <c r="O152" s="262" t="str">
        <f t="shared" si="6"/>
        <v>102177</v>
      </c>
      <c r="P152" s="262" t="str">
        <f t="shared" ca="1" si="7"/>
        <v>Good</v>
      </c>
      <c r="Q152" s="262" t="str">
        <f>IF(O152="header","",INDEX('Standard Cart Pricing Formulas'!$O:$O,MATCH(F152,'Standard Cart Pricing Formulas'!$F:$F,0)))</f>
        <v/>
      </c>
    </row>
    <row r="153" spans="1:17" ht="15" customHeight="1" x14ac:dyDescent="0.25">
      <c r="A153" s="118"/>
      <c r="B153" s="49" t="str">
        <f>INDEX('Pricing (Drugs) SS'!$B:$B,MATCH(F153,'Pricing (Drugs) SS'!$A:$A,0))</f>
        <v>NICARDIPINE/ CARDENE</v>
      </c>
      <c r="C153" s="50" t="str">
        <f>IF(LEFT(F153,6)="Header","",INDEX('Pricing (Drugs) SS'!$E:$E,MATCH(F153,'Pricing (Drugs) SS'!$A:$A,0)))</f>
        <v/>
      </c>
      <c r="D153" s="49" t="str">
        <f>IF(LEFT(F153,6)="Header","",INDEX('Pricing (Drugs) SS'!$F:$F,MATCH(F153,'Pricing (Drugs) SS'!$A:$A,0)))</f>
        <v/>
      </c>
      <c r="E153" s="51" t="str">
        <f>IF(LEFT(F153,6)="Header","",INDEX('Pricing (Drugs) SS'!$D:$D,MATCH(F153,'Pricing (Drugs) SS'!$A:$A,0)))</f>
        <v/>
      </c>
      <c r="F153" s="119" t="s">
        <v>1580</v>
      </c>
      <c r="G153" s="214" t="str">
        <f>IF(LEFT(F153,6)="Header","",INDEX('Standard Cart Pricing Formulas'!$N:$N,MATCH(F153,'Standard Cart Pricing Formulas'!$F:$F,0)))</f>
        <v/>
      </c>
      <c r="H153" s="51"/>
      <c r="I153" s="272"/>
      <c r="L153" s="16" t="str">
        <f>IF(O153="Header","",INDEX('Standard Cart Pricing Formulas'!$N:$N,MATCH(F153,'Standard Cart Pricing Formulas'!$F:$F,0)))</f>
        <v/>
      </c>
      <c r="M153" s="16" t="str">
        <f>IF(LEFT(F153,6)="Header","",INDEX('Standard Cart Pricing Formulas'!$M:$M,MATCH(F153,'Standard Cart Pricing Formulas'!$F:$F,0)))</f>
        <v/>
      </c>
      <c r="N153" s="262" cm="1">
        <f t="array" aca="1" ref="N153" ca="1">CELL("protect",A153)</f>
        <v>1</v>
      </c>
      <c r="O153" s="262" t="str">
        <f t="shared" si="6"/>
        <v>HEADER</v>
      </c>
      <c r="P153" s="262" t="str">
        <f t="shared" ca="1" si="7"/>
        <v>Good</v>
      </c>
      <c r="Q153" s="262" t="str">
        <f>IF(O153="header","",INDEX('Standard Cart Pricing Formulas'!$O:$O,MATCH(F153,'Standard Cart Pricing Formulas'!$F:$F,0)))</f>
        <v/>
      </c>
    </row>
    <row r="154" spans="1:17" ht="15" customHeight="1" x14ac:dyDescent="0.25">
      <c r="A154" s="48"/>
      <c r="B154" s="49" t="str">
        <f>INDEX('Pricing (Drugs) SS'!$B:$B,MATCH(F154,'Pricing (Drugs) SS'!$A:$A,0))</f>
        <v>NICARDIPINE HYDROCHLORIDE INJECTION 25mg/10mL (2.5 mg/mL) 10mL VIAL</v>
      </c>
      <c r="C154" s="50" t="str">
        <f>IF(LEFT(F154,6)="Header","",INDEX('Pricing (Drugs) SS'!$E:$E,MATCH(F154,'Pricing (Drugs) SS'!$A:$A,0)))</f>
        <v>2.5mg/mL</v>
      </c>
      <c r="D154" s="49" t="str">
        <f>IF(LEFT(F154,6)="Header","",INDEX('Pricing (Drugs) SS'!$F:$F,MATCH(F154,'Pricing (Drugs) SS'!$A:$A,0)))</f>
        <v>10mL</v>
      </c>
      <c r="E154" s="51" t="str">
        <f>IF(LEFT(F154,6)="Header","",INDEX('Pricing (Drugs) SS'!$D:$D,MATCH(F154,'Pricing (Drugs) SS'!$A:$A,0)))</f>
        <v>0143-9689-10</v>
      </c>
      <c r="F154" s="119">
        <v>1013020</v>
      </c>
      <c r="G154" s="214" t="str">
        <f>IF(LEFT(F154,6)="Header","",INDEX('Standard Cart Pricing Formulas'!$N:$N,MATCH(F154,'Standard Cart Pricing Formulas'!$F:$F,0)))</f>
        <v/>
      </c>
      <c r="H154" s="269"/>
      <c r="I154" s="270"/>
      <c r="L154" s="16" t="str">
        <f>IF(O154="Header","",INDEX('Standard Cart Pricing Formulas'!$N:$N,MATCH(F154,'Standard Cart Pricing Formulas'!$F:$F,0)))</f>
        <v/>
      </c>
      <c r="M154" s="16" t="str">
        <f>IF(LEFT(F154,6)="Header","",INDEX('Standard Cart Pricing Formulas'!$M:$M,MATCH(F154,'Standard Cart Pricing Formulas'!$F:$F,0)))</f>
        <v/>
      </c>
      <c r="N154" s="262" cm="1">
        <f t="array" aca="1" ref="N154" ca="1">CELL("protect",A154)</f>
        <v>0</v>
      </c>
      <c r="O154" s="262" t="str">
        <f t="shared" si="6"/>
        <v>101302</v>
      </c>
      <c r="P154" s="262" t="str">
        <f t="shared" ca="1" si="7"/>
        <v>Good</v>
      </c>
      <c r="Q154" s="262" t="str">
        <f>IF(O154="header","",INDEX('Standard Cart Pricing Formulas'!$O:$O,MATCH(F154,'Standard Cart Pricing Formulas'!$F:$F,0)))</f>
        <v/>
      </c>
    </row>
    <row r="155" spans="1:17" ht="15" customHeight="1" x14ac:dyDescent="0.25">
      <c r="A155" s="118"/>
      <c r="B155" s="49" t="str">
        <f>INDEX('Pricing (Drugs) SS'!$B:$B,MATCH(F155,'Pricing (Drugs) SS'!$A:$A,0))</f>
        <v>NITROGLYCERIN</v>
      </c>
      <c r="C155" s="50" t="str">
        <f>IF(LEFT(F155,6)="Header","",INDEX('Pricing (Drugs) SS'!$E:$E,MATCH(F155,'Pricing (Drugs) SS'!$A:$A,0)))</f>
        <v/>
      </c>
      <c r="D155" s="49" t="str">
        <f>IF(LEFT(F155,6)="Header","",INDEX('Pricing (Drugs) SS'!$F:$F,MATCH(F155,'Pricing (Drugs) SS'!$A:$A,0)))</f>
        <v/>
      </c>
      <c r="E155" s="51" t="str">
        <f>IF(LEFT(F155,6)="Header","",INDEX('Pricing (Drugs) SS'!$D:$D,MATCH(F155,'Pricing (Drugs) SS'!$A:$A,0)))</f>
        <v/>
      </c>
      <c r="F155" s="119" t="s">
        <v>1581</v>
      </c>
      <c r="G155" s="214" t="str">
        <f>IF(LEFT(F155,6)="Header","",INDEX('Standard Cart Pricing Formulas'!$N:$N,MATCH(F155,'Standard Cart Pricing Formulas'!$F:$F,0)))</f>
        <v/>
      </c>
      <c r="H155" s="51"/>
      <c r="I155" s="272"/>
      <c r="L155" s="16" t="str">
        <f>IF(O155="Header","",INDEX('Standard Cart Pricing Formulas'!$N:$N,MATCH(F155,'Standard Cart Pricing Formulas'!$F:$F,0)))</f>
        <v/>
      </c>
      <c r="M155" s="16" t="str">
        <f>IF(LEFT(F155,6)="Header","",INDEX('Standard Cart Pricing Formulas'!$M:$M,MATCH(F155,'Standard Cart Pricing Formulas'!$F:$F,0)))</f>
        <v/>
      </c>
      <c r="N155" s="262" cm="1">
        <f t="array" aca="1" ref="N155" ca="1">CELL("protect",A155)</f>
        <v>1</v>
      </c>
      <c r="O155" s="262" t="str">
        <f t="shared" si="6"/>
        <v>HEADER</v>
      </c>
      <c r="P155" s="262" t="str">
        <f t="shared" ca="1" si="7"/>
        <v>Good</v>
      </c>
      <c r="Q155" s="262" t="str">
        <f>IF(O155="header","",INDEX('Standard Cart Pricing Formulas'!$O:$O,MATCH(F155,'Standard Cart Pricing Formulas'!$F:$F,0)))</f>
        <v/>
      </c>
    </row>
    <row r="156" spans="1:17" ht="15" customHeight="1" x14ac:dyDescent="0.25">
      <c r="A156" s="48"/>
      <c r="B156" s="49" t="str">
        <f>INDEX('Pricing (Drugs) SS'!$B:$B,MATCH(F156,'Pricing (Drugs) SS'!$A:$A,0))</f>
        <v>NITROGLYCERIN INJECTION, USP 50mg/10mL (5mg/mL) 10mL VIAL</v>
      </c>
      <c r="C156" s="50" t="str">
        <f>IF(LEFT(F156,6)="Header","",INDEX('Pricing (Drugs) SS'!$E:$E,MATCH(F156,'Pricing (Drugs) SS'!$A:$A,0)))</f>
        <v>5mg/mL</v>
      </c>
      <c r="D156" s="49" t="str">
        <f>IF(LEFT(F156,6)="Header","",INDEX('Pricing (Drugs) SS'!$F:$F,MATCH(F156,'Pricing (Drugs) SS'!$A:$A,0)))</f>
        <v>10mL</v>
      </c>
      <c r="E156" s="51" t="str">
        <f>IF(LEFT(F156,6)="Header","",INDEX('Pricing (Drugs) SS'!$D:$D,MATCH(F156,'Pricing (Drugs) SS'!$A:$A,0)))</f>
        <v>0517-4810-25</v>
      </c>
      <c r="F156" s="119">
        <v>1012240</v>
      </c>
      <c r="G156" s="214" t="str">
        <f>IF(LEFT(F156,6)="Header","",INDEX('Standard Cart Pricing Formulas'!$N:$N,MATCH(F156,'Standard Cart Pricing Formulas'!$F:$F,0)))</f>
        <v/>
      </c>
      <c r="H156" s="269"/>
      <c r="I156" s="270"/>
      <c r="L156" s="16" t="str">
        <f>IF(O156="Header","",INDEX('Standard Cart Pricing Formulas'!$N:$N,MATCH(F156,'Standard Cart Pricing Formulas'!$F:$F,0)))</f>
        <v/>
      </c>
      <c r="M156" s="16" t="str">
        <f>IF(LEFT(F156,6)="Header","",INDEX('Standard Cart Pricing Formulas'!$M:$M,MATCH(F156,'Standard Cart Pricing Formulas'!$F:$F,0)))</f>
        <v/>
      </c>
      <c r="N156" s="262" cm="1">
        <f t="array" aca="1" ref="N156" ca="1">CELL("protect",A156)</f>
        <v>0</v>
      </c>
      <c r="O156" s="262" t="str">
        <f t="shared" si="6"/>
        <v>101224</v>
      </c>
      <c r="P156" s="262" t="str">
        <f t="shared" ca="1" si="7"/>
        <v>Good</v>
      </c>
      <c r="Q156" s="262" t="str">
        <f>IF(O156="header","",INDEX('Standard Cart Pricing Formulas'!$O:$O,MATCH(F156,'Standard Cart Pricing Formulas'!$F:$F,0)))</f>
        <v/>
      </c>
    </row>
    <row r="157" spans="1:17" ht="15" customHeight="1" x14ac:dyDescent="0.25">
      <c r="A157" s="48"/>
      <c r="B157" s="49" t="str">
        <f>INDEX('Pricing (Drugs) SS'!$B:$B,MATCH(F157,'Pricing (Drugs) SS'!$A:$A,0))</f>
        <v>NITROGLYCERIN LINGUAL SPRAY 400 mcg PER SPRAY 60 METERED SPRAYS BOXED</v>
      </c>
      <c r="C157" s="50" t="str">
        <f>IF(LEFT(F157,6)="Header","",INDEX('Pricing (Drugs) SS'!$E:$E,MATCH(F157,'Pricing (Drugs) SS'!$A:$A,0)))</f>
        <v>400mcg per spray</v>
      </c>
      <c r="D157" s="49" t="str">
        <f>IF(LEFT(F157,6)="Header","",INDEX('Pricing (Drugs) SS'!$F:$F,MATCH(F157,'Pricing (Drugs) SS'!$A:$A,0)))</f>
        <v>4.9g</v>
      </c>
      <c r="E157" s="51" t="str">
        <f>IF(LEFT(F157,6)="Header","",INDEX('Pricing (Drugs) SS'!$D:$D,MATCH(F157,'Pricing (Drugs) SS'!$A:$A,0)))</f>
        <v>66993-241-50</v>
      </c>
      <c r="F157" s="119">
        <v>1024170</v>
      </c>
      <c r="G157" s="214" t="str">
        <f>IF(LEFT(F157,6)="Header","",INDEX('Standard Cart Pricing Formulas'!$N:$N,MATCH(F157,'Standard Cart Pricing Formulas'!$F:$F,0)))</f>
        <v/>
      </c>
      <c r="H157" s="269"/>
      <c r="I157" s="270"/>
      <c r="L157" s="16" t="str">
        <f>IF(O157="Header","",INDEX('Standard Cart Pricing Formulas'!$N:$N,MATCH(F157,'Standard Cart Pricing Formulas'!$F:$F,0)))</f>
        <v/>
      </c>
      <c r="M157" s="16" t="str">
        <f>IF(LEFT(F157,6)="Header","",INDEX('Standard Cart Pricing Formulas'!$M:$M,MATCH(F157,'Standard Cart Pricing Formulas'!$F:$F,0)))</f>
        <v/>
      </c>
      <c r="N157" s="262" cm="1">
        <f t="array" aca="1" ref="N157" ca="1">CELL("protect",A157)</f>
        <v>0</v>
      </c>
      <c r="O157" s="262" t="str">
        <f t="shared" si="6"/>
        <v>102417</v>
      </c>
      <c r="P157" s="262" t="str">
        <f t="shared" ca="1" si="7"/>
        <v>Good</v>
      </c>
      <c r="Q157" s="262" t="str">
        <f>IF(O157="header","",INDEX('Standard Cart Pricing Formulas'!$O:$O,MATCH(F157,'Standard Cart Pricing Formulas'!$F:$F,0)))</f>
        <v/>
      </c>
    </row>
    <row r="158" spans="1:17" ht="15" customHeight="1" x14ac:dyDescent="0.25">
      <c r="A158" s="48"/>
      <c r="B158" s="49" t="str">
        <f>INDEX('Pricing (Drugs) SS'!$B:$B,MATCH(F158,'Pricing (Drugs) SS'!$A:$A,0))</f>
        <v>NITROGLYCERIN SUBLINGUAL TABLETS, USP 0.4mg/TABLET 25TABS</v>
      </c>
      <c r="C158" s="50" t="str">
        <f>IF(LEFT(F158,6)="Header","",INDEX('Pricing (Drugs) SS'!$E:$E,MATCH(F158,'Pricing (Drugs) SS'!$A:$A,0)))</f>
        <v>0.4mg/tablets</v>
      </c>
      <c r="D158" s="49" t="str">
        <f>IF(LEFT(F158,6)="Header","",INDEX('Pricing (Drugs) SS'!$F:$F,MATCH(F158,'Pricing (Drugs) SS'!$A:$A,0)))</f>
        <v>25 tablets</v>
      </c>
      <c r="E158" s="51" t="str">
        <f>IF(LEFT(F158,6)="Header","",INDEX('Pricing (Drugs) SS'!$D:$D,MATCH(F158,'Pricing (Drugs) SS'!$A:$A,0)))</f>
        <v>43598-436-11</v>
      </c>
      <c r="F158" s="119">
        <v>1001140</v>
      </c>
      <c r="G158" s="214" t="str">
        <f>IF(LEFT(F158,6)="Header","",INDEX('Standard Cart Pricing Formulas'!$N:$N,MATCH(F158,'Standard Cart Pricing Formulas'!$F:$F,0)))</f>
        <v/>
      </c>
      <c r="H158" s="269"/>
      <c r="I158" s="270"/>
      <c r="L158" s="16" t="str">
        <f>IF(O158="Header","",INDEX('Standard Cart Pricing Formulas'!$N:$N,MATCH(F158,'Standard Cart Pricing Formulas'!$F:$F,0)))</f>
        <v/>
      </c>
      <c r="M158" s="16" t="str">
        <f>IF(LEFT(F158,6)="Header","",INDEX('Standard Cart Pricing Formulas'!$M:$M,MATCH(F158,'Standard Cart Pricing Formulas'!$F:$F,0)))</f>
        <v/>
      </c>
      <c r="N158" s="262" cm="1">
        <f t="array" aca="1" ref="N158" ca="1">CELL("protect",A158)</f>
        <v>0</v>
      </c>
      <c r="O158" s="262" t="str">
        <f t="shared" si="6"/>
        <v>100114</v>
      </c>
      <c r="P158" s="262" t="str">
        <f t="shared" ca="1" si="7"/>
        <v>Good</v>
      </c>
      <c r="Q158" s="262" t="str">
        <f>IF(O158="header","",INDEX('Standard Cart Pricing Formulas'!$O:$O,MATCH(F158,'Standard Cart Pricing Formulas'!$F:$F,0)))</f>
        <v/>
      </c>
    </row>
    <row r="159" spans="1:17" ht="15" customHeight="1" x14ac:dyDescent="0.25">
      <c r="A159" s="48"/>
      <c r="B159" s="49" t="str">
        <f>INDEX('Pricing (Drugs) SS'!$B:$B,MATCH(F159,'Pricing (Drugs) SS'!$A:$A,0))</f>
        <v>NITROGLYCERIN SUBLINGUAL TABLETS, USP 0.4mg/TABLET 25TABS</v>
      </c>
      <c r="C159" s="50" t="str">
        <f>IF(LEFT(F159,6)="Header","",INDEX('Pricing (Drugs) SS'!$E:$E,MATCH(F159,'Pricing (Drugs) SS'!$A:$A,0)))</f>
        <v>.4 mg/1</v>
      </c>
      <c r="D159" s="49" t="str">
        <f>IF(LEFT(F159,6)="Header","",INDEX('Pricing (Drugs) SS'!$F:$F,MATCH(F159,'Pricing (Drugs) SS'!$A:$A,0)))</f>
        <v>25 tablets</v>
      </c>
      <c r="E159" s="51" t="str">
        <f>IF(LEFT(F159,6)="Header","",INDEX('Pricing (Drugs) SS'!$D:$D,MATCH(F159,'Pricing (Drugs) SS'!$A:$A,0)))</f>
        <v>72888-139-33</v>
      </c>
      <c r="F159" s="119">
        <v>1024800</v>
      </c>
      <c r="G159" s="214" t="str">
        <f>IF(LEFT(F159,6)="Header","",INDEX('Standard Cart Pricing Formulas'!$N:$N,MATCH(F159,'Standard Cart Pricing Formulas'!$F:$F,0)))</f>
        <v/>
      </c>
      <c r="H159" s="269"/>
      <c r="I159" s="270"/>
      <c r="L159" s="16" t="str">
        <f>IF(O159="Header","",INDEX('Standard Cart Pricing Formulas'!$N:$N,MATCH(F159,'Standard Cart Pricing Formulas'!$F:$F,0)))</f>
        <v/>
      </c>
      <c r="M159" s="16" t="str">
        <f>IF(LEFT(F159,6)="Header","",INDEX('Standard Cart Pricing Formulas'!$M:$M,MATCH(F159,'Standard Cart Pricing Formulas'!$F:$F,0)))</f>
        <v/>
      </c>
      <c r="N159" s="262" cm="1">
        <f t="array" aca="1" ref="N159" ca="1">CELL("protect",A159)</f>
        <v>0</v>
      </c>
      <c r="O159" s="262" t="str">
        <f t="shared" si="6"/>
        <v>102480</v>
      </c>
      <c r="P159" s="262" t="str">
        <f t="shared" ca="1" si="7"/>
        <v>Good</v>
      </c>
      <c r="Q159" s="262" t="str">
        <f>IF(O159="header","",INDEX('Standard Cart Pricing Formulas'!$O:$O,MATCH(F159,'Standard Cart Pricing Formulas'!$F:$F,0)))</f>
        <v/>
      </c>
    </row>
    <row r="160" spans="1:17" ht="15" customHeight="1" x14ac:dyDescent="0.25">
      <c r="A160" s="118"/>
      <c r="B160" s="49" t="str">
        <f>INDEX('Pricing (Drugs) SS'!$B:$B,MATCH(F160,'Pricing (Drugs) SS'!$A:$A,0))</f>
        <v>NOREPINEPHRINE / LEVOPHED</v>
      </c>
      <c r="C160" s="50" t="str">
        <f>IF(LEFT(F160,6)="Header","",INDEX('Pricing (Drugs) SS'!$E:$E,MATCH(F160,'Pricing (Drugs) SS'!$A:$A,0)))</f>
        <v/>
      </c>
      <c r="D160" s="49" t="str">
        <f>IF(LEFT(F160,6)="Header","",INDEX('Pricing (Drugs) SS'!$F:$F,MATCH(F160,'Pricing (Drugs) SS'!$A:$A,0)))</f>
        <v/>
      </c>
      <c r="E160" s="51" t="str">
        <f>IF(LEFT(F160,6)="Header","",INDEX('Pricing (Drugs) SS'!$D:$D,MATCH(F160,'Pricing (Drugs) SS'!$A:$A,0)))</f>
        <v/>
      </c>
      <c r="F160" s="119" t="s">
        <v>1582</v>
      </c>
      <c r="G160" s="214" t="str">
        <f>IF(LEFT(F160,6)="Header","",INDEX('Standard Cart Pricing Formulas'!$N:$N,MATCH(F160,'Standard Cart Pricing Formulas'!$F:$F,0)))</f>
        <v/>
      </c>
      <c r="H160" s="51"/>
      <c r="I160" s="272"/>
      <c r="L160" s="16" t="str">
        <f>IF(O160="Header","",INDEX('Standard Cart Pricing Formulas'!$N:$N,MATCH(F160,'Standard Cart Pricing Formulas'!$F:$F,0)))</f>
        <v/>
      </c>
      <c r="M160" s="16" t="str">
        <f>IF(LEFT(F160,6)="Header","",INDEX('Standard Cart Pricing Formulas'!$M:$M,MATCH(F160,'Standard Cart Pricing Formulas'!$F:$F,0)))</f>
        <v/>
      </c>
      <c r="N160" s="262" cm="1">
        <f t="array" aca="1" ref="N160" ca="1">CELL("protect",A160)</f>
        <v>1</v>
      </c>
      <c r="O160" s="262" t="str">
        <f t="shared" si="6"/>
        <v>HEADER</v>
      </c>
      <c r="P160" s="262" t="str">
        <f t="shared" ca="1" si="7"/>
        <v>Good</v>
      </c>
      <c r="Q160" s="262" t="str">
        <f>IF(O160="header","",INDEX('Standard Cart Pricing Formulas'!$O:$O,MATCH(F160,'Standard Cart Pricing Formulas'!$F:$F,0)))</f>
        <v/>
      </c>
    </row>
    <row r="161" spans="1:17" ht="15" customHeight="1" x14ac:dyDescent="0.25">
      <c r="A161" s="48"/>
      <c r="B161" s="49" t="str">
        <f>INDEX('Pricing (Drugs) SS'!$B:$B,MATCH(F161,'Pricing (Drugs) SS'!$A:$A,0))</f>
        <v>NOREPINEPHRINE BITARTRATE INJECTION, USP 4mg PER 4mL (1 mg/mL) 4mL VIAL</v>
      </c>
      <c r="C161" s="50" t="str">
        <f>IF(LEFT(F161,6)="Header","",INDEX('Pricing (Drugs) SS'!$E:$E,MATCH(F161,'Pricing (Drugs) SS'!$A:$A,0)))</f>
        <v>1mg/mL</v>
      </c>
      <c r="D161" s="49" t="str">
        <f>IF(LEFT(F161,6)="Header","",INDEX('Pricing (Drugs) SS'!$F:$F,MATCH(F161,'Pricing (Drugs) SS'!$A:$A,0)))</f>
        <v>4mL</v>
      </c>
      <c r="E161" s="51" t="str">
        <f>IF(LEFT(F161,6)="Header","",INDEX('Pricing (Drugs) SS'!$D:$D,MATCH(F161,'Pricing (Drugs) SS'!$A:$A,0)))</f>
        <v>0143-9318-10</v>
      </c>
      <c r="F161" s="119">
        <v>1015820</v>
      </c>
      <c r="G161" s="214" t="str">
        <f>IF(LEFT(F161,6)="Header","",INDEX('Standard Cart Pricing Formulas'!$N:$N,MATCH(F161,'Standard Cart Pricing Formulas'!$F:$F,0)))</f>
        <v/>
      </c>
      <c r="H161" s="269"/>
      <c r="I161" s="270"/>
      <c r="L161" s="16" t="str">
        <f>IF(O161="Header","",INDEX('Standard Cart Pricing Formulas'!$N:$N,MATCH(F161,'Standard Cart Pricing Formulas'!$F:$F,0)))</f>
        <v/>
      </c>
      <c r="M161" s="16" t="str">
        <f>IF(LEFT(F161,6)="Header","",INDEX('Standard Cart Pricing Formulas'!$M:$M,MATCH(F161,'Standard Cart Pricing Formulas'!$F:$F,0)))</f>
        <v/>
      </c>
      <c r="N161" s="262" cm="1">
        <f t="array" aca="1" ref="N161" ca="1">CELL("protect",A161)</f>
        <v>0</v>
      </c>
      <c r="O161" s="262" t="str">
        <f t="shared" si="6"/>
        <v>101582</v>
      </c>
      <c r="P161" s="262" t="str">
        <f t="shared" ca="1" si="7"/>
        <v>Good</v>
      </c>
      <c r="Q161" s="262" t="str">
        <f>IF(O161="header","",INDEX('Standard Cart Pricing Formulas'!$O:$O,MATCH(F161,'Standard Cart Pricing Formulas'!$F:$F,0)))</f>
        <v/>
      </c>
    </row>
    <row r="162" spans="1:17" ht="15" customHeight="1" x14ac:dyDescent="0.25">
      <c r="A162" s="118"/>
      <c r="B162" s="49" t="str">
        <f>INDEX('Pricing (Drugs) SS'!$B:$B,MATCH(F162,'Pricing (Drugs) SS'!$A:$A,0))</f>
        <v>ONDANSETRON</v>
      </c>
      <c r="C162" s="50" t="str">
        <f>IF(LEFT(F162,6)="Header","",INDEX('Pricing (Drugs) SS'!$E:$E,MATCH(F162,'Pricing (Drugs) SS'!$A:$A,0)))</f>
        <v/>
      </c>
      <c r="D162" s="49" t="str">
        <f>IF(LEFT(F162,6)="Header","",INDEX('Pricing (Drugs) SS'!$F:$F,MATCH(F162,'Pricing (Drugs) SS'!$A:$A,0)))</f>
        <v/>
      </c>
      <c r="E162" s="51" t="str">
        <f>IF(LEFT(F162,6)="Header","",INDEX('Pricing (Drugs) SS'!$D:$D,MATCH(F162,'Pricing (Drugs) SS'!$A:$A,0)))</f>
        <v/>
      </c>
      <c r="F162" s="119" t="s">
        <v>1583</v>
      </c>
      <c r="G162" s="214" t="str">
        <f>IF(LEFT(F162,6)="Header","",INDEX('Standard Cart Pricing Formulas'!$N:$N,MATCH(F162,'Standard Cart Pricing Formulas'!$F:$F,0)))</f>
        <v/>
      </c>
      <c r="H162" s="51"/>
      <c r="I162" s="272"/>
      <c r="L162" s="16" t="str">
        <f>IF(O162="Header","",INDEX('Standard Cart Pricing Formulas'!$N:$N,MATCH(F162,'Standard Cart Pricing Formulas'!$F:$F,0)))</f>
        <v/>
      </c>
      <c r="M162" s="16" t="str">
        <f>IF(LEFT(F162,6)="Header","",INDEX('Standard Cart Pricing Formulas'!$M:$M,MATCH(F162,'Standard Cart Pricing Formulas'!$F:$F,0)))</f>
        <v/>
      </c>
      <c r="N162" s="262" cm="1">
        <f t="array" aca="1" ref="N162" ca="1">CELL("protect",A162)</f>
        <v>1</v>
      </c>
      <c r="O162" s="262" t="str">
        <f t="shared" si="6"/>
        <v>HEADER</v>
      </c>
      <c r="P162" s="262" t="str">
        <f t="shared" ca="1" si="7"/>
        <v>Good</v>
      </c>
      <c r="Q162" s="262" t="str">
        <f>IF(O162="header","",INDEX('Standard Cart Pricing Formulas'!$O:$O,MATCH(F162,'Standard Cart Pricing Formulas'!$F:$F,0)))</f>
        <v/>
      </c>
    </row>
    <row r="163" spans="1:17" ht="15" customHeight="1" x14ac:dyDescent="0.25">
      <c r="A163" s="48"/>
      <c r="B163" s="49" t="str">
        <f>INDEX('Pricing (Drugs) SS'!$B:$B,MATCH(F163,'Pricing (Drugs) SS'!$A:$A,0))</f>
        <v>ONDANSETRON ORALLY DISINTEGRATING TABLETS, USP 4mg (2 PACK)</v>
      </c>
      <c r="C163" s="50" t="str">
        <f>IF(LEFT(F163,6)="Header","",INDEX('Pricing (Drugs) SS'!$E:$E,MATCH(F163,'Pricing (Drugs) SS'!$A:$A,0)))</f>
        <v>4mg</v>
      </c>
      <c r="D163" s="49" t="str">
        <f>IF(LEFT(F163,6)="Header","",INDEX('Pricing (Drugs) SS'!$F:$F,MATCH(F163,'Pricing (Drugs) SS'!$A:$A,0)))</f>
        <v>1 TABLET</v>
      </c>
      <c r="E163" s="51" t="str">
        <f>IF(LEFT(F163,6)="Header","",INDEX('Pricing (Drugs) SS'!$D:$D,MATCH(F163,'Pricing (Drugs) SS'!$A:$A,0)))</f>
        <v>57237-077-10</v>
      </c>
      <c r="F163" s="119">
        <v>1014330</v>
      </c>
      <c r="G163" s="214" t="str">
        <f>IF(LEFT(F163,6)="Header","",INDEX('Standard Cart Pricing Formulas'!$N:$N,MATCH(F163,'Standard Cart Pricing Formulas'!$F:$F,0)))</f>
        <v/>
      </c>
      <c r="H163" s="269"/>
      <c r="I163" s="270"/>
      <c r="L163" s="16" t="str">
        <f>IF(O163="Header","",INDEX('Standard Cart Pricing Formulas'!$N:$N,MATCH(F163,'Standard Cart Pricing Formulas'!$F:$F,0)))</f>
        <v/>
      </c>
      <c r="M163" s="16" t="str">
        <f>IF(LEFT(F163,6)="Header","",INDEX('Standard Cart Pricing Formulas'!$M:$M,MATCH(F163,'Standard Cart Pricing Formulas'!$F:$F,0)))</f>
        <v/>
      </c>
      <c r="N163" s="262" cm="1">
        <f t="array" aca="1" ref="N163" ca="1">CELL("protect",A163)</f>
        <v>0</v>
      </c>
      <c r="O163" s="262" t="str">
        <f t="shared" si="6"/>
        <v>101433</v>
      </c>
      <c r="P163" s="262" t="str">
        <f t="shared" ca="1" si="7"/>
        <v>Good</v>
      </c>
      <c r="Q163" s="262" t="str">
        <f>IF(O163="header","",INDEX('Standard Cart Pricing Formulas'!$O:$O,MATCH(F163,'Standard Cart Pricing Formulas'!$F:$F,0)))</f>
        <v/>
      </c>
    </row>
    <row r="164" spans="1:17" ht="15" customHeight="1" x14ac:dyDescent="0.25">
      <c r="A164" s="48"/>
      <c r="B164" s="49" t="str">
        <f>INDEX('Pricing (Drugs) SS'!$B:$B,MATCH(F164,'Pricing (Drugs) SS'!$A:$A,0))</f>
        <v>ONDANSETRON INJECTION, USP 4mg/2mL (2mg/mL) VIAL</v>
      </c>
      <c r="C164" s="50" t="str">
        <f>IF(LEFT(F164,6)="Header","",INDEX('Pricing (Drugs) SS'!$E:$E,MATCH(F164,'Pricing (Drugs) SS'!$A:$A,0)))</f>
        <v>2mg/mL</v>
      </c>
      <c r="D164" s="49" t="str">
        <f>IF(LEFT(F164,6)="Header","",INDEX('Pricing (Drugs) SS'!$F:$F,MATCH(F164,'Pricing (Drugs) SS'!$A:$A,0)))</f>
        <v>2mL</v>
      </c>
      <c r="E164" s="51" t="str">
        <f>IF(LEFT(F164,6)="Header","",INDEX('Pricing (Drugs) SS'!$D:$D,MATCH(F164,'Pricing (Drugs) SS'!$A:$A,0)))</f>
        <v>0641-6078-25</v>
      </c>
      <c r="F164" s="119">
        <v>1000480</v>
      </c>
      <c r="G164" s="214" t="str">
        <f>IF(LEFT(F164,6)="Header","",INDEX('Standard Cart Pricing Formulas'!$N:$N,MATCH(F164,'Standard Cart Pricing Formulas'!$F:$F,0)))</f>
        <v/>
      </c>
      <c r="H164" s="269"/>
      <c r="I164" s="270"/>
      <c r="L164" s="16" t="str">
        <f>IF(O164="Header","",INDEX('Standard Cart Pricing Formulas'!$N:$N,MATCH(F164,'Standard Cart Pricing Formulas'!$F:$F,0)))</f>
        <v/>
      </c>
      <c r="M164" s="16" t="str">
        <f>IF(LEFT(F164,6)="Header","",INDEX('Standard Cart Pricing Formulas'!$M:$M,MATCH(F164,'Standard Cart Pricing Formulas'!$F:$F,0)))</f>
        <v/>
      </c>
      <c r="N164" s="262" cm="1">
        <f t="array" aca="1" ref="N164" ca="1">CELL("protect",A164)</f>
        <v>0</v>
      </c>
      <c r="O164" s="262" t="str">
        <f t="shared" si="6"/>
        <v>100048</v>
      </c>
      <c r="P164" s="262" t="str">
        <f t="shared" ca="1" si="7"/>
        <v>Good</v>
      </c>
      <c r="Q164" s="262" t="str">
        <f>IF(O164="header","",INDEX('Standard Cart Pricing Formulas'!$O:$O,MATCH(F164,'Standard Cart Pricing Formulas'!$F:$F,0)))</f>
        <v/>
      </c>
    </row>
    <row r="165" spans="1:17" ht="15" customHeight="1" x14ac:dyDescent="0.25">
      <c r="A165" s="118"/>
      <c r="B165" s="49" t="str">
        <f>INDEX('Pricing (Drugs) SS'!$B:$B,MATCH(F165,'Pricing (Drugs) SS'!$A:$A,0))</f>
        <v>PHENYLEPHRINE</v>
      </c>
      <c r="C165" s="50" t="str">
        <f>IF(LEFT(F165,6)="Header","",INDEX('Pricing (Drugs) SS'!$E:$E,MATCH(F165,'Pricing (Drugs) SS'!$A:$A,0)))</f>
        <v/>
      </c>
      <c r="D165" s="49" t="str">
        <f>IF(LEFT(F165,6)="Header","",INDEX('Pricing (Drugs) SS'!$F:$F,MATCH(F165,'Pricing (Drugs) SS'!$A:$A,0)))</f>
        <v/>
      </c>
      <c r="E165" s="51" t="str">
        <f>IF(LEFT(F165,6)="Header","",INDEX('Pricing (Drugs) SS'!$D:$D,MATCH(F165,'Pricing (Drugs) SS'!$A:$A,0)))</f>
        <v/>
      </c>
      <c r="F165" s="119" t="s">
        <v>1584</v>
      </c>
      <c r="G165" s="214" t="str">
        <f>IF(LEFT(F165,6)="Header","",INDEX('Standard Cart Pricing Formulas'!$N:$N,MATCH(F165,'Standard Cart Pricing Formulas'!$F:$F,0)))</f>
        <v/>
      </c>
      <c r="H165" s="51"/>
      <c r="I165" s="272"/>
      <c r="L165" s="16" t="str">
        <f>IF(O165="Header","",INDEX('Standard Cart Pricing Formulas'!$N:$N,MATCH(F165,'Standard Cart Pricing Formulas'!$F:$F,0)))</f>
        <v/>
      </c>
      <c r="M165" s="16" t="str">
        <f>IF(LEFT(F165,6)="Header","",INDEX('Standard Cart Pricing Formulas'!$M:$M,MATCH(F165,'Standard Cart Pricing Formulas'!$F:$F,0)))</f>
        <v/>
      </c>
      <c r="N165" s="262" cm="1">
        <f t="array" aca="1" ref="N165" ca="1">CELL("protect",A165)</f>
        <v>1</v>
      </c>
      <c r="O165" s="262" t="str">
        <f t="shared" si="6"/>
        <v>HEADER</v>
      </c>
      <c r="P165" s="262" t="str">
        <f t="shared" ca="1" si="7"/>
        <v>Good</v>
      </c>
      <c r="Q165" s="262" t="str">
        <f>IF(O165="header","",INDEX('Standard Cart Pricing Formulas'!$O:$O,MATCH(F165,'Standard Cart Pricing Formulas'!$F:$F,0)))</f>
        <v/>
      </c>
    </row>
    <row r="166" spans="1:17" ht="15" customHeight="1" x14ac:dyDescent="0.25">
      <c r="A166" s="48"/>
      <c r="B166" s="49" t="str">
        <f>INDEX('Pricing (Drugs) SS'!$B:$B,MATCH(F166,'Pricing (Drugs) SS'!$A:$A,0))</f>
        <v>PHENYLEPHRINE HCI INJECTION, USP 10mg/mL 1mL VIAL</v>
      </c>
      <c r="C166" s="50" t="str">
        <f>IF(LEFT(F166,6)="Header","",INDEX('Pricing (Drugs) SS'!$E:$E,MATCH(F166,'Pricing (Drugs) SS'!$A:$A,0)))</f>
        <v>10mg/mL</v>
      </c>
      <c r="D166" s="49" t="str">
        <f>IF(LEFT(F166,6)="Header","",INDEX('Pricing (Drugs) SS'!$F:$F,MATCH(F166,'Pricing (Drugs) SS'!$A:$A,0)))</f>
        <v>1mL</v>
      </c>
      <c r="E166" s="51" t="str">
        <f>IF(LEFT(F166,6)="Header","",INDEX('Pricing (Drugs) SS'!$D:$D,MATCH(F166,'Pricing (Drugs) SS'!$A:$A,0)))</f>
        <v>0641-6142-25</v>
      </c>
      <c r="F166" s="119">
        <v>1000520</v>
      </c>
      <c r="G166" s="214" t="str">
        <f>IF(LEFT(F166,6)="Header","",INDEX('Standard Cart Pricing Formulas'!$N:$N,MATCH(F166,'Standard Cart Pricing Formulas'!$F:$F,0)))</f>
        <v/>
      </c>
      <c r="H166" s="269"/>
      <c r="I166" s="270"/>
      <c r="L166" s="16" t="str">
        <f>IF(O166="Header","",INDEX('Standard Cart Pricing Formulas'!$N:$N,MATCH(F166,'Standard Cart Pricing Formulas'!$F:$F,0)))</f>
        <v/>
      </c>
      <c r="M166" s="16" t="str">
        <f>IF(LEFT(F166,6)="Header","",INDEX('Standard Cart Pricing Formulas'!$M:$M,MATCH(F166,'Standard Cart Pricing Formulas'!$F:$F,0)))</f>
        <v/>
      </c>
      <c r="N166" s="262" cm="1">
        <f t="array" aca="1" ref="N166" ca="1">CELL("protect",A166)</f>
        <v>0</v>
      </c>
      <c r="O166" s="262" t="str">
        <f t="shared" si="6"/>
        <v>100052</v>
      </c>
      <c r="P166" s="262" t="str">
        <f t="shared" ca="1" si="7"/>
        <v>Good</v>
      </c>
      <c r="Q166" s="262" t="str">
        <f>IF(O166="header","",INDEX('Standard Cart Pricing Formulas'!$O:$O,MATCH(F166,'Standard Cart Pricing Formulas'!$F:$F,0)))</f>
        <v/>
      </c>
    </row>
    <row r="167" spans="1:17" ht="15" customHeight="1" x14ac:dyDescent="0.25">
      <c r="A167" s="118"/>
      <c r="B167" s="49" t="str">
        <f>INDEX('Pricing (Drugs) SS'!$B:$B,MATCH(F167,'Pricing (Drugs) SS'!$A:$A,0))</f>
        <v>PHENYTOIN/DILANTIN</v>
      </c>
      <c r="C167" s="50" t="str">
        <f>IF(LEFT(F167,6)="Header","",INDEX('Pricing (Drugs) SS'!$E:$E,MATCH(F167,'Pricing (Drugs) SS'!$A:$A,0)))</f>
        <v/>
      </c>
      <c r="D167" s="49" t="str">
        <f>IF(LEFT(F167,6)="Header","",INDEX('Pricing (Drugs) SS'!$F:$F,MATCH(F167,'Pricing (Drugs) SS'!$A:$A,0)))</f>
        <v/>
      </c>
      <c r="E167" s="51" t="str">
        <f>IF(LEFT(F167,6)="Header","",INDEX('Pricing (Drugs) SS'!$D:$D,MATCH(F167,'Pricing (Drugs) SS'!$A:$A,0)))</f>
        <v/>
      </c>
      <c r="F167" s="119" t="s">
        <v>1585</v>
      </c>
      <c r="G167" s="214" t="str">
        <f>IF(LEFT(F167,6)="Header","",INDEX('Standard Cart Pricing Formulas'!$N:$N,MATCH(F167,'Standard Cart Pricing Formulas'!$F:$F,0)))</f>
        <v/>
      </c>
      <c r="H167" s="51"/>
      <c r="I167" s="272"/>
      <c r="L167" s="16" t="str">
        <f>IF(O167="Header","",INDEX('Standard Cart Pricing Formulas'!$N:$N,MATCH(F167,'Standard Cart Pricing Formulas'!$F:$F,0)))</f>
        <v/>
      </c>
      <c r="M167" s="16" t="str">
        <f>IF(LEFT(F167,6)="Header","",INDEX('Standard Cart Pricing Formulas'!$M:$M,MATCH(F167,'Standard Cart Pricing Formulas'!$F:$F,0)))</f>
        <v/>
      </c>
      <c r="N167" s="262" cm="1">
        <f t="array" aca="1" ref="N167" ca="1">CELL("protect",A167)</f>
        <v>1</v>
      </c>
      <c r="O167" s="262" t="str">
        <f t="shared" si="6"/>
        <v>HEADER</v>
      </c>
      <c r="P167" s="262" t="str">
        <f t="shared" ca="1" si="7"/>
        <v>Good</v>
      </c>
      <c r="Q167" s="262" t="str">
        <f>IF(O167="header","",INDEX('Standard Cart Pricing Formulas'!$O:$O,MATCH(F167,'Standard Cart Pricing Formulas'!$F:$F,0)))</f>
        <v/>
      </c>
    </row>
    <row r="168" spans="1:17" ht="15.75" x14ac:dyDescent="0.25">
      <c r="A168" s="48"/>
      <c r="B168" s="49" t="str">
        <f>INDEX('Pricing (Drugs) SS'!$B:$B,MATCH(F168,'Pricing (Drugs) SS'!$A:$A,0))</f>
        <v>PHENYTOIN SODIUM INJ., USP 100mg/2mL (50mg/mL) VIAL</v>
      </c>
      <c r="C168" s="50" t="str">
        <f>IF(LEFT(F168,6)="Header","",INDEX('Pricing (Drugs) SS'!$E:$E,MATCH(F168,'Pricing (Drugs) SS'!$A:$A,0)))</f>
        <v>50mg/mL</v>
      </c>
      <c r="D168" s="49" t="str">
        <f>IF(LEFT(F168,6)="Header","",INDEX('Pricing (Drugs) SS'!$F:$F,MATCH(F168,'Pricing (Drugs) SS'!$A:$A,0)))</f>
        <v>2mL</v>
      </c>
      <c r="E168" s="51" t="str">
        <f>IF(LEFT(F168,6)="Header","",INDEX('Pricing (Drugs) SS'!$D:$D,MATCH(F168,'Pricing (Drugs) SS'!$A:$A,0)))</f>
        <v>0641-0493-25</v>
      </c>
      <c r="F168" s="119">
        <v>1000540</v>
      </c>
      <c r="G168" s="214" t="str">
        <f>IF(LEFT(F168,6)="Header","",INDEX('Standard Cart Pricing Formulas'!$N:$N,MATCH(F168,'Standard Cart Pricing Formulas'!$F:$F,0)))</f>
        <v/>
      </c>
      <c r="H168" s="269"/>
      <c r="I168" s="270"/>
      <c r="L168" s="16" t="str">
        <f>IF(O168="Header","",INDEX('Standard Cart Pricing Formulas'!$N:$N,MATCH(F168,'Standard Cart Pricing Formulas'!$F:$F,0)))</f>
        <v/>
      </c>
      <c r="M168" s="16" t="str">
        <f>IF(LEFT(F168,6)="Header","",INDEX('Standard Cart Pricing Formulas'!$M:$M,MATCH(F168,'Standard Cart Pricing Formulas'!$F:$F,0)))</f>
        <v/>
      </c>
      <c r="N168" s="262" cm="1">
        <f t="array" aca="1" ref="N168" ca="1">CELL("protect",A168)</f>
        <v>0</v>
      </c>
      <c r="O168" s="262" t="str">
        <f t="shared" si="6"/>
        <v>100054</v>
      </c>
      <c r="P168" s="262" t="str">
        <f t="shared" ca="1" si="7"/>
        <v>Good</v>
      </c>
      <c r="Q168" s="262" t="str">
        <f>IF(O168="header","",INDEX('Standard Cart Pricing Formulas'!$O:$O,MATCH(F168,'Standard Cart Pricing Formulas'!$F:$F,0)))</f>
        <v/>
      </c>
    </row>
    <row r="169" spans="1:17" ht="15.75" x14ac:dyDescent="0.25">
      <c r="A169" s="48"/>
      <c r="B169" s="49" t="str">
        <f>INDEX('Pricing (Drugs) SS'!$B:$B,MATCH(F169,'Pricing (Drugs) SS'!$A:$A,0))</f>
        <v>POTASSIUM CHLORIDE FOR INJECTION CONCENTRATE, USP 20 mEq/10mL (2 mEq/mL)</v>
      </c>
      <c r="C169" s="50" t="str">
        <f>IF(LEFT(F169,6)="Header","",INDEX('Pricing (Drugs) SS'!$E:$E,MATCH(F169,'Pricing (Drugs) SS'!$A:$A,0)))</f>
        <v>2 mEq/mL</v>
      </c>
      <c r="D169" s="49" t="str">
        <f>IF(LEFT(F169,6)="Header","",INDEX('Pricing (Drugs) SS'!$F:$F,MATCH(F169,'Pricing (Drugs) SS'!$A:$A,0)))</f>
        <v>10mL</v>
      </c>
      <c r="E169" s="51" t="str">
        <f>IF(LEFT(F169,6)="Header","",INDEX('Pricing (Drugs) SS'!$D:$D,MATCH(F169,'Pricing (Drugs) SS'!$A:$A,0)))</f>
        <v>0409-6651-06</v>
      </c>
      <c r="F169" s="119">
        <v>1011810</v>
      </c>
      <c r="G169" s="214" t="str">
        <f>IF(LEFT(F169,6)="Header","",INDEX('Standard Cart Pricing Formulas'!$N:$N,MATCH(F169,'Standard Cart Pricing Formulas'!$F:$F,0)))</f>
        <v>X</v>
      </c>
      <c r="H169" s="269"/>
      <c r="I169" s="270"/>
      <c r="L169" s="16" t="str">
        <f>IF(O169="Header","",INDEX('Standard Cart Pricing Formulas'!$N:$N,MATCH(F169,'Standard Cart Pricing Formulas'!$F:$F,0)))</f>
        <v>X</v>
      </c>
      <c r="M169" s="16" t="str">
        <f>IF(LEFT(F169,6)="Header","",INDEX('Standard Cart Pricing Formulas'!$M:$M,MATCH(F169,'Standard Cart Pricing Formulas'!$F:$F,0)))</f>
        <v/>
      </c>
      <c r="N169" s="262" cm="1">
        <f t="array" aca="1" ref="N169" ca="1">CELL("protect",A169)</f>
        <v>0</v>
      </c>
      <c r="O169" s="262" t="str">
        <f t="shared" si="6"/>
        <v>101181</v>
      </c>
      <c r="P169" s="262" t="str">
        <f t="shared" ca="1" si="7"/>
        <v>Good</v>
      </c>
      <c r="Q169" s="262" t="str">
        <f>IF(O169="header","",INDEX('Standard Cart Pricing Formulas'!$O:$O,MATCH(F169,'Standard Cart Pricing Formulas'!$F:$F,0)))</f>
        <v/>
      </c>
    </row>
    <row r="170" spans="1:17" ht="15.75" x14ac:dyDescent="0.25">
      <c r="A170" s="118"/>
      <c r="B170" s="49" t="str">
        <f>INDEX('Pricing (Drugs) SS'!$B:$B,MATCH(F170,'Pricing (Drugs) SS'!$A:$A,0))</f>
        <v>PROCAINAMIDE</v>
      </c>
      <c r="C170" s="50" t="str">
        <f>IF(LEFT(F170,6)="Header","",INDEX('Pricing (Drugs) SS'!$E:$E,MATCH(F170,'Pricing (Drugs) SS'!$A:$A,0)))</f>
        <v/>
      </c>
      <c r="D170" s="49" t="str">
        <f>IF(LEFT(F170,6)="Header","",INDEX('Pricing (Drugs) SS'!$F:$F,MATCH(F170,'Pricing (Drugs) SS'!$A:$A,0)))</f>
        <v/>
      </c>
      <c r="E170" s="51" t="str">
        <f>IF(LEFT(F170,6)="Header","",INDEX('Pricing (Drugs) SS'!$D:$D,MATCH(F170,'Pricing (Drugs) SS'!$A:$A,0)))</f>
        <v/>
      </c>
      <c r="F170" s="119" t="s">
        <v>1586</v>
      </c>
      <c r="G170" s="214" t="str">
        <f>IF(LEFT(F170,6)="Header","",INDEX('Standard Cart Pricing Formulas'!$N:$N,MATCH(F170,'Standard Cart Pricing Formulas'!$F:$F,0)))</f>
        <v/>
      </c>
      <c r="H170" s="51"/>
      <c r="I170" s="272"/>
      <c r="L170" s="16" t="str">
        <f>IF(O170="Header","",INDEX('Standard Cart Pricing Formulas'!$N:$N,MATCH(F170,'Standard Cart Pricing Formulas'!$F:$F,0)))</f>
        <v/>
      </c>
      <c r="M170" s="16" t="str">
        <f>IF(LEFT(F170,6)="Header","",INDEX('Standard Cart Pricing Formulas'!$M:$M,MATCH(F170,'Standard Cart Pricing Formulas'!$F:$F,0)))</f>
        <v/>
      </c>
      <c r="N170" s="262" cm="1">
        <f t="array" aca="1" ref="N170" ca="1">CELL("protect",A170)</f>
        <v>1</v>
      </c>
      <c r="O170" s="262" t="str">
        <f t="shared" si="6"/>
        <v>HEADER</v>
      </c>
      <c r="P170" s="262" t="str">
        <f t="shared" ca="1" si="7"/>
        <v>Good</v>
      </c>
      <c r="Q170" s="262" t="str">
        <f>IF(O170="header","",INDEX('Standard Cart Pricing Formulas'!$O:$O,MATCH(F170,'Standard Cart Pricing Formulas'!$F:$F,0)))</f>
        <v/>
      </c>
    </row>
    <row r="171" spans="1:17" ht="15.75" x14ac:dyDescent="0.25">
      <c r="A171" s="48"/>
      <c r="B171" s="49" t="str">
        <f>INDEX('Pricing (Drugs) SS'!$B:$B,MATCH(F171,'Pricing (Drugs) SS'!$A:$A,0))</f>
        <v>PROCAINAMIDE HYDROCHLORIDE INJ, USP 100mg/mL 10mL SYR</v>
      </c>
      <c r="C171" s="50" t="str">
        <f>IF(LEFT(F171,6)="Header","",INDEX('Pricing (Drugs) SS'!$E:$E,MATCH(F171,'Pricing (Drugs) SS'!$A:$A,0)))</f>
        <v>100mg/mL</v>
      </c>
      <c r="D171" s="49" t="str">
        <f>IF(LEFT(F171,6)="Header","",INDEX('Pricing (Drugs) SS'!$F:$F,MATCH(F171,'Pricing (Drugs) SS'!$A:$A,0)))</f>
        <v>10mL</v>
      </c>
      <c r="E171" s="51" t="str">
        <f>IF(LEFT(F171,6)="Header","",INDEX('Pricing (Drugs) SS'!$D:$D,MATCH(F171,'Pricing (Drugs) SS'!$A:$A,0)))</f>
        <v>76329-3399-5</v>
      </c>
      <c r="F171" s="119">
        <v>1024020</v>
      </c>
      <c r="G171" s="214" t="str">
        <f>IF(LEFT(F171,6)="Header","",INDEX('Standard Cart Pricing Formulas'!$N:$N,MATCH(F171,'Standard Cart Pricing Formulas'!$F:$F,0)))</f>
        <v/>
      </c>
      <c r="H171" s="269"/>
      <c r="I171" s="270"/>
      <c r="L171" s="16" t="str">
        <f>IF(O171="Header","",INDEX('Standard Cart Pricing Formulas'!$N:$N,MATCH(F171,'Standard Cart Pricing Formulas'!$F:$F,0)))</f>
        <v/>
      </c>
      <c r="M171" s="16" t="str">
        <f>IF(LEFT(F171,6)="Header","",INDEX('Standard Cart Pricing Formulas'!$M:$M,MATCH(F171,'Standard Cart Pricing Formulas'!$F:$F,0)))</f>
        <v/>
      </c>
      <c r="N171" s="262" cm="1">
        <f t="array" aca="1" ref="N171" ca="1">CELL("protect",A171)</f>
        <v>0</v>
      </c>
      <c r="O171" s="262" t="str">
        <f t="shared" si="6"/>
        <v>102402</v>
      </c>
      <c r="P171" s="262" t="str">
        <f t="shared" ca="1" si="7"/>
        <v>Good</v>
      </c>
      <c r="Q171" s="262" t="str">
        <f>IF(O171="header","",INDEX('Standard Cart Pricing Formulas'!$O:$O,MATCH(F171,'Standard Cart Pricing Formulas'!$F:$F,0)))</f>
        <v/>
      </c>
    </row>
    <row r="172" spans="1:17" ht="15.75" x14ac:dyDescent="0.25">
      <c r="A172" s="118"/>
      <c r="B172" s="49" t="str">
        <f>INDEX('Pricing (Drugs) SS'!$B:$B,MATCH(F172,'Pricing (Drugs) SS'!$A:$A,0))</f>
        <v>PROMETHAZINE/PROMETHEGAN/PHENERGAN</v>
      </c>
      <c r="C172" s="50" t="str">
        <f>IF(LEFT(F172,6)="Header","",INDEX('Pricing (Drugs) SS'!$E:$E,MATCH(F172,'Pricing (Drugs) SS'!$A:$A,0)))</f>
        <v/>
      </c>
      <c r="D172" s="49" t="str">
        <f>IF(LEFT(F172,6)="Header","",INDEX('Pricing (Drugs) SS'!$F:$F,MATCH(F172,'Pricing (Drugs) SS'!$A:$A,0)))</f>
        <v/>
      </c>
      <c r="E172" s="51" t="str">
        <f>IF(LEFT(F172,6)="Header","",INDEX('Pricing (Drugs) SS'!$D:$D,MATCH(F172,'Pricing (Drugs) SS'!$A:$A,0)))</f>
        <v/>
      </c>
      <c r="F172" s="119" t="s">
        <v>1587</v>
      </c>
      <c r="G172" s="214" t="str">
        <f>IF(LEFT(F172,6)="Header","",INDEX('Standard Cart Pricing Formulas'!$N:$N,MATCH(F172,'Standard Cart Pricing Formulas'!$F:$F,0)))</f>
        <v/>
      </c>
      <c r="H172" s="51"/>
      <c r="I172" s="272"/>
      <c r="L172" s="16" t="str">
        <f>IF(O172="Header","",INDEX('Standard Cart Pricing Formulas'!$N:$N,MATCH(F172,'Standard Cart Pricing Formulas'!$F:$F,0)))</f>
        <v/>
      </c>
      <c r="M172" s="16" t="str">
        <f>IF(LEFT(F172,6)="Header","",INDEX('Standard Cart Pricing Formulas'!$M:$M,MATCH(F172,'Standard Cart Pricing Formulas'!$F:$F,0)))</f>
        <v/>
      </c>
      <c r="N172" s="262" cm="1">
        <f t="array" aca="1" ref="N172" ca="1">CELL("protect",A172)</f>
        <v>1</v>
      </c>
      <c r="O172" s="262" t="str">
        <f t="shared" ref="O172:O203" si="8">LEFT(F172,6)</f>
        <v>HEADER</v>
      </c>
      <c r="P172" s="262" t="str">
        <f t="shared" ca="1" si="7"/>
        <v>Good</v>
      </c>
      <c r="Q172" s="262" t="str">
        <f>IF(O172="header","",INDEX('Standard Cart Pricing Formulas'!$O:$O,MATCH(F172,'Standard Cart Pricing Formulas'!$F:$F,0)))</f>
        <v/>
      </c>
    </row>
    <row r="173" spans="1:17" ht="15.75" x14ac:dyDescent="0.25">
      <c r="A173" s="48"/>
      <c r="B173" s="49" t="str">
        <f>INDEX('Pricing (Drugs) SS'!$B:$B,MATCH(F173,'Pricing (Drugs) SS'!$A:$A,0))</f>
        <v>PROMETHAZINE HCI INJECTION, USP 50mg/mL 1mL AMPULE</v>
      </c>
      <c r="C173" s="50" t="str">
        <f>IF(LEFT(F173,6)="Header","",INDEX('Pricing (Drugs) SS'!$E:$E,MATCH(F173,'Pricing (Drugs) SS'!$A:$A,0)))</f>
        <v>50mg/mL</v>
      </c>
      <c r="D173" s="49" t="str">
        <f>IF(LEFT(F173,6)="Header","",INDEX('Pricing (Drugs) SS'!$F:$F,MATCH(F173,'Pricing (Drugs) SS'!$A:$A,0)))</f>
        <v>1mL</v>
      </c>
      <c r="E173" s="51" t="str">
        <f>IF(LEFT(F173,6)="Header","",INDEX('Pricing (Drugs) SS'!$D:$D,MATCH(F173,'Pricing (Drugs) SS'!$A:$A,0)))</f>
        <v>0641-1496-35</v>
      </c>
      <c r="F173" s="119">
        <v>1000510</v>
      </c>
      <c r="G173" s="214" t="str">
        <f>IF(LEFT(F173,6)="Header","",INDEX('Standard Cart Pricing Formulas'!$N:$N,MATCH(F173,'Standard Cart Pricing Formulas'!$F:$F,0)))</f>
        <v/>
      </c>
      <c r="H173" s="269"/>
      <c r="I173" s="270"/>
      <c r="L173" s="16" t="str">
        <f>IF(O173="Header","",INDEX('Standard Cart Pricing Formulas'!$N:$N,MATCH(F173,'Standard Cart Pricing Formulas'!$F:$F,0)))</f>
        <v/>
      </c>
      <c r="M173" s="16" t="str">
        <f>IF(LEFT(F173,6)="Header","",INDEX('Standard Cart Pricing Formulas'!$M:$M,MATCH(F173,'Standard Cart Pricing Formulas'!$F:$F,0)))</f>
        <v/>
      </c>
      <c r="N173" s="262" cm="1">
        <f t="array" aca="1" ref="N173" ca="1">CELL("protect",A173)</f>
        <v>0</v>
      </c>
      <c r="O173" s="262" t="str">
        <f t="shared" si="8"/>
        <v>100051</v>
      </c>
      <c r="P173" s="262" t="str">
        <f t="shared" ca="1" si="7"/>
        <v>Good</v>
      </c>
      <c r="Q173" s="262" t="str">
        <f>IF(O173="header","",INDEX('Standard Cart Pricing Formulas'!$O:$O,MATCH(F173,'Standard Cart Pricing Formulas'!$F:$F,0)))</f>
        <v/>
      </c>
    </row>
    <row r="174" spans="1:17" ht="15.75" x14ac:dyDescent="0.25">
      <c r="A174" s="48"/>
      <c r="B174" s="49" t="str">
        <f>INDEX('Pricing (Drugs) SS'!$B:$B,MATCH(F174,'Pricing (Drugs) SS'!$A:$A,0))</f>
        <v>PROMETHAZINE HCI INJECTION, USP 25mg/mL 1mL VIAL</v>
      </c>
      <c r="C174" s="50" t="str">
        <f>IF(LEFT(F174,6)="Header","",INDEX('Pricing (Drugs) SS'!$E:$E,MATCH(F174,'Pricing (Drugs) SS'!$A:$A,0)))</f>
        <v>25mg/mL</v>
      </c>
      <c r="D174" s="49" t="str">
        <f>IF(LEFT(F174,6)="Header","",INDEX('Pricing (Drugs) SS'!$F:$F,MATCH(F174,'Pricing (Drugs) SS'!$A:$A,0)))</f>
        <v>1mL</v>
      </c>
      <c r="E174" s="51" t="str">
        <f>IF(LEFT(F174,6)="Header","",INDEX('Pricing (Drugs) SS'!$D:$D,MATCH(F174,'Pricing (Drugs) SS'!$A:$A,0)))</f>
        <v>0641-0928-25</v>
      </c>
      <c r="F174" s="119">
        <v>1000500</v>
      </c>
      <c r="G174" s="214" t="str">
        <f>IF(LEFT(F174,6)="Header","",INDEX('Standard Cart Pricing Formulas'!$N:$N,MATCH(F174,'Standard Cart Pricing Formulas'!$F:$F,0)))</f>
        <v/>
      </c>
      <c r="H174" s="269"/>
      <c r="I174" s="270"/>
      <c r="L174" s="16" t="str">
        <f>IF(O174="Header","",INDEX('Standard Cart Pricing Formulas'!$N:$N,MATCH(F174,'Standard Cart Pricing Formulas'!$F:$F,0)))</f>
        <v/>
      </c>
      <c r="M174" s="16" t="str">
        <f>IF(LEFT(F174,6)="Header","",INDEX('Standard Cart Pricing Formulas'!$M:$M,MATCH(F174,'Standard Cart Pricing Formulas'!$F:$F,0)))</f>
        <v/>
      </c>
      <c r="N174" s="262" cm="1">
        <f t="array" aca="1" ref="N174" ca="1">CELL("protect",A174)</f>
        <v>0</v>
      </c>
      <c r="O174" s="262" t="str">
        <f t="shared" si="8"/>
        <v>100050</v>
      </c>
      <c r="P174" s="262" t="str">
        <f t="shared" ca="1" si="7"/>
        <v>Good</v>
      </c>
      <c r="Q174" s="262" t="str">
        <f>IF(O174="header","",INDEX('Standard Cart Pricing Formulas'!$O:$O,MATCH(F174,'Standard Cart Pricing Formulas'!$F:$F,0)))</f>
        <v/>
      </c>
    </row>
    <row r="175" spans="1:17" ht="15.75" x14ac:dyDescent="0.25">
      <c r="A175" s="118"/>
      <c r="B175" s="49" t="str">
        <f>INDEX('Pricing (Drugs) SS'!$B:$B,MATCH(F175,'Pricing (Drugs) SS'!$A:$A,0))</f>
        <v>PROPOFOL/ DIPRIVAN</v>
      </c>
      <c r="C175" s="50" t="str">
        <f>IF(LEFT(F175,6)="Header","",INDEX('Pricing (Drugs) SS'!$E:$E,MATCH(F175,'Pricing (Drugs) SS'!$A:$A,0)))</f>
        <v/>
      </c>
      <c r="D175" s="49" t="str">
        <f>IF(LEFT(F175,6)="Header","",INDEX('Pricing (Drugs) SS'!$F:$F,MATCH(F175,'Pricing (Drugs) SS'!$A:$A,0)))</f>
        <v/>
      </c>
      <c r="E175" s="51" t="str">
        <f>IF(LEFT(F175,6)="Header","",INDEX('Pricing (Drugs) SS'!$D:$D,MATCH(F175,'Pricing (Drugs) SS'!$A:$A,0)))</f>
        <v/>
      </c>
      <c r="F175" s="119" t="s">
        <v>1588</v>
      </c>
      <c r="G175" s="214" t="str">
        <f>IF(LEFT(F175,6)="Header","",INDEX('Standard Cart Pricing Formulas'!$N:$N,MATCH(F175,'Standard Cart Pricing Formulas'!$F:$F,0)))</f>
        <v/>
      </c>
      <c r="H175" s="51"/>
      <c r="I175" s="272"/>
      <c r="L175" s="16" t="str">
        <f>IF(O175="Header","",INDEX('Standard Cart Pricing Formulas'!$N:$N,MATCH(F175,'Standard Cart Pricing Formulas'!$F:$F,0)))</f>
        <v/>
      </c>
      <c r="M175" s="16" t="str">
        <f>IF(LEFT(F175,6)="Header","",INDEX('Standard Cart Pricing Formulas'!$M:$M,MATCH(F175,'Standard Cart Pricing Formulas'!$F:$F,0)))</f>
        <v/>
      </c>
      <c r="N175" s="262" cm="1">
        <f t="array" aca="1" ref="N175" ca="1">CELL("protect",A175)</f>
        <v>1</v>
      </c>
      <c r="O175" s="262" t="str">
        <f t="shared" si="8"/>
        <v>HEADER</v>
      </c>
      <c r="P175" s="262" t="str">
        <f t="shared" ca="1" si="7"/>
        <v>Good</v>
      </c>
      <c r="Q175" s="262" t="str">
        <f>IF(O175="header","",INDEX('Standard Cart Pricing Formulas'!$O:$O,MATCH(F175,'Standard Cart Pricing Formulas'!$F:$F,0)))</f>
        <v/>
      </c>
    </row>
    <row r="176" spans="1:17" ht="15.75" x14ac:dyDescent="0.25">
      <c r="A176" s="48"/>
      <c r="B176" s="49" t="str">
        <f>INDEX('Pricing (Drugs) SS'!$B:$B,MATCH(F176,'Pricing (Drugs) SS'!$A:$A,0))</f>
        <v>PROPOFOL INJECTABLE EMULSION 500mg/50mL (10mg/mL) 50mL VIAL</v>
      </c>
      <c r="C176" s="50" t="str">
        <f>IF(LEFT(F176,6)="Header","",INDEX('Pricing (Drugs) SS'!$E:$E,MATCH(F176,'Pricing (Drugs) SS'!$A:$A,0)))</f>
        <v>10mg/mL</v>
      </c>
      <c r="D176" s="49" t="str">
        <f>IF(LEFT(F176,6)="Header","",INDEX('Pricing (Drugs) SS'!$F:$F,MATCH(F176,'Pricing (Drugs) SS'!$A:$A,0)))</f>
        <v>50mL</v>
      </c>
      <c r="E176" s="51" t="str">
        <f>IF(LEFT(F176,6)="Header","",INDEX('Pricing (Drugs) SS'!$D:$D,MATCH(F176,'Pricing (Drugs) SS'!$A:$A,0)))</f>
        <v>0409-4699-33</v>
      </c>
      <c r="F176" s="119">
        <v>1012910</v>
      </c>
      <c r="G176" s="214" t="str">
        <f>IF(LEFT(F176,6)="Header","",INDEX('Standard Cart Pricing Formulas'!$N:$N,MATCH(F176,'Standard Cart Pricing Formulas'!$F:$F,0)))</f>
        <v>X</v>
      </c>
      <c r="H176" s="269"/>
      <c r="I176" s="270"/>
      <c r="L176" s="16" t="str">
        <f>IF(O176="Header","",INDEX('Standard Cart Pricing Formulas'!$N:$N,MATCH(F176,'Standard Cart Pricing Formulas'!$F:$F,0)))</f>
        <v>X</v>
      </c>
      <c r="M176" s="16" t="str">
        <f>IF(LEFT(F176,6)="Header","",INDEX('Standard Cart Pricing Formulas'!$M:$M,MATCH(F176,'Standard Cart Pricing Formulas'!$F:$F,0)))</f>
        <v/>
      </c>
      <c r="N176" s="262" cm="1">
        <f t="array" aca="1" ref="N176" ca="1">CELL("protect",A176)</f>
        <v>0</v>
      </c>
      <c r="O176" s="262" t="str">
        <f t="shared" si="8"/>
        <v>101291</v>
      </c>
      <c r="P176" s="262" t="str">
        <f t="shared" ca="1" si="7"/>
        <v>Good</v>
      </c>
      <c r="Q176" s="262" t="str">
        <f>IF(O176="header","",INDEX('Standard Cart Pricing Formulas'!$O:$O,MATCH(F176,'Standard Cart Pricing Formulas'!$F:$F,0)))</f>
        <v/>
      </c>
    </row>
    <row r="177" spans="1:17" ht="15.75" x14ac:dyDescent="0.25">
      <c r="A177" s="48"/>
      <c r="B177" s="49" t="str">
        <f>INDEX('Pricing (Drugs) SS'!$B:$B,MATCH(F177,'Pricing (Drugs) SS'!$A:$A,0))</f>
        <v>PROPOFOL INJECTABLE EMULSION 1g/100mL (10mg/mL) 100mL VIAL</v>
      </c>
      <c r="C177" s="50" t="str">
        <f>IF(LEFT(F177,6)="Header","",INDEX('Pricing (Drugs) SS'!$E:$E,MATCH(F177,'Pricing (Drugs) SS'!$A:$A,0)))</f>
        <v>10mg/mL</v>
      </c>
      <c r="D177" s="49" t="str">
        <f>IF(LEFT(F177,6)="Header","",INDEX('Pricing (Drugs) SS'!$F:$F,MATCH(F177,'Pricing (Drugs) SS'!$A:$A,0)))</f>
        <v>100mL</v>
      </c>
      <c r="E177" s="51" t="str">
        <f>IF(LEFT(F177,6)="Header","",INDEX('Pricing (Drugs) SS'!$D:$D,MATCH(F177,'Pricing (Drugs) SS'!$A:$A,0)))</f>
        <v>0409-4699-24</v>
      </c>
      <c r="F177" s="119">
        <v>1012900</v>
      </c>
      <c r="G177" s="214" t="str">
        <f>IF(LEFT(F177,6)="Header","",INDEX('Standard Cart Pricing Formulas'!$N:$N,MATCH(F177,'Standard Cart Pricing Formulas'!$F:$F,0)))</f>
        <v>X</v>
      </c>
      <c r="H177" s="269"/>
      <c r="I177" s="270"/>
      <c r="L177" s="16" t="str">
        <f>IF(O177="Header","",INDEX('Standard Cart Pricing Formulas'!$N:$N,MATCH(F177,'Standard Cart Pricing Formulas'!$F:$F,0)))</f>
        <v>X</v>
      </c>
      <c r="M177" s="16" t="str">
        <f>IF(LEFT(F177,6)="Header","",INDEX('Standard Cart Pricing Formulas'!$M:$M,MATCH(F177,'Standard Cart Pricing Formulas'!$F:$F,0)))</f>
        <v/>
      </c>
      <c r="N177" s="262" cm="1">
        <f t="array" aca="1" ref="N177" ca="1">CELL("protect",A177)</f>
        <v>0</v>
      </c>
      <c r="O177" s="262" t="str">
        <f t="shared" si="8"/>
        <v>101290</v>
      </c>
      <c r="P177" s="262" t="str">
        <f t="shared" ca="1" si="7"/>
        <v>Good</v>
      </c>
      <c r="Q177" s="262" t="str">
        <f>IF(O177="header","",INDEX('Standard Cart Pricing Formulas'!$O:$O,MATCH(F177,'Standard Cart Pricing Formulas'!$F:$F,0)))</f>
        <v/>
      </c>
    </row>
    <row r="178" spans="1:17" ht="15.75" x14ac:dyDescent="0.25">
      <c r="A178" s="118"/>
      <c r="B178" s="49" t="str">
        <f>INDEX('Pricing (Drugs) SS'!$B:$B,MATCH(F178,'Pricing (Drugs) SS'!$A:$A,0))</f>
        <v>SODIUM BICARBONATE</v>
      </c>
      <c r="C178" s="50" t="str">
        <f>IF(LEFT(F178,6)="Header","",INDEX('Pricing (Drugs) SS'!$E:$E,MATCH(F178,'Pricing (Drugs) SS'!$A:$A,0)))</f>
        <v/>
      </c>
      <c r="D178" s="49" t="str">
        <f>IF(LEFT(F178,6)="Header","",INDEX('Pricing (Drugs) SS'!$F:$F,MATCH(F178,'Pricing (Drugs) SS'!$A:$A,0)))</f>
        <v/>
      </c>
      <c r="E178" s="51" t="str">
        <f>IF(LEFT(F178,6)="Header","",INDEX('Pricing (Drugs) SS'!$D:$D,MATCH(F178,'Pricing (Drugs) SS'!$A:$A,0)))</f>
        <v/>
      </c>
      <c r="F178" s="119" t="s">
        <v>1589</v>
      </c>
      <c r="G178" s="214" t="str">
        <f>IF(LEFT(F178,6)="Header","",INDEX('Standard Cart Pricing Formulas'!$N:$N,MATCH(F178,'Standard Cart Pricing Formulas'!$F:$F,0)))</f>
        <v/>
      </c>
      <c r="H178" s="51"/>
      <c r="I178" s="272"/>
      <c r="L178" s="16" t="str">
        <f>IF(O178="Header","",INDEX('Standard Cart Pricing Formulas'!$N:$N,MATCH(F178,'Standard Cart Pricing Formulas'!$F:$F,0)))</f>
        <v/>
      </c>
      <c r="M178" s="16" t="str">
        <f>IF(LEFT(F178,6)="Header","",INDEX('Standard Cart Pricing Formulas'!$M:$M,MATCH(F178,'Standard Cart Pricing Formulas'!$F:$F,0)))</f>
        <v/>
      </c>
      <c r="N178" s="262" cm="1">
        <f t="array" aca="1" ref="N178" ca="1">CELL("protect",A178)</f>
        <v>1</v>
      </c>
      <c r="O178" s="262" t="str">
        <f t="shared" si="8"/>
        <v>HEADER</v>
      </c>
      <c r="P178" s="262" t="str">
        <f t="shared" ca="1" si="7"/>
        <v>Good</v>
      </c>
      <c r="Q178" s="262" t="str">
        <f>IF(O178="header","",INDEX('Standard Cart Pricing Formulas'!$O:$O,MATCH(F178,'Standard Cart Pricing Formulas'!$F:$F,0)))</f>
        <v/>
      </c>
    </row>
    <row r="179" spans="1:17" ht="15.75" x14ac:dyDescent="0.25">
      <c r="A179" s="48"/>
      <c r="B179" s="49" t="str">
        <f>INDEX('Pricing (Drugs) SS'!$B:$B,MATCH(F179,'Pricing (Drugs) SS'!$A:$A,0))</f>
        <v>SODIUM BICARBONATE INJECTION USP, 8.4% 50mEq/50mL (1mEq/mL) 50mL VIAL</v>
      </c>
      <c r="C179" s="50" t="str">
        <f>IF(LEFT(F179,6)="Header","",INDEX('Pricing (Drugs) SS'!$E:$E,MATCH(F179,'Pricing (Drugs) SS'!$A:$A,0)))</f>
        <v>1mEq/mL</v>
      </c>
      <c r="D179" s="49" t="str">
        <f>IF(LEFT(F179,6)="Header","",INDEX('Pricing (Drugs) SS'!$F:$F,MATCH(F179,'Pricing (Drugs) SS'!$A:$A,0)))</f>
        <v>50mL</v>
      </c>
      <c r="E179" s="51" t="str">
        <f>IF(LEFT(F179,6)="Header","",INDEX('Pricing (Drugs) SS'!$D:$D,MATCH(F179,'Pricing (Drugs) SS'!$A:$A,0)))</f>
        <v>0409-6625-14</v>
      </c>
      <c r="F179" s="119">
        <v>1000590</v>
      </c>
      <c r="G179" s="214" t="str">
        <f>IF(LEFT(F179,6)="Header","",INDEX('Standard Cart Pricing Formulas'!$N:$N,MATCH(F179,'Standard Cart Pricing Formulas'!$F:$F,0)))</f>
        <v/>
      </c>
      <c r="H179" s="269"/>
      <c r="I179" s="270"/>
      <c r="L179" s="16" t="str">
        <f>IF(O179="Header","",INDEX('Standard Cart Pricing Formulas'!$N:$N,MATCH(F179,'Standard Cart Pricing Formulas'!$F:$F,0)))</f>
        <v/>
      </c>
      <c r="M179" s="16" t="str">
        <f>IF(LEFT(F179,6)="Header","",INDEX('Standard Cart Pricing Formulas'!$M:$M,MATCH(F179,'Standard Cart Pricing Formulas'!$F:$F,0)))</f>
        <v/>
      </c>
      <c r="N179" s="262" cm="1">
        <f t="array" aca="1" ref="N179" ca="1">CELL("protect",A179)</f>
        <v>0</v>
      </c>
      <c r="O179" s="262" t="str">
        <f t="shared" si="8"/>
        <v>100059</v>
      </c>
      <c r="P179" s="262" t="str">
        <f t="shared" ca="1" si="7"/>
        <v>Good</v>
      </c>
      <c r="Q179" s="262" t="str">
        <f>IF(O179="header","",INDEX('Standard Cart Pricing Formulas'!$O:$O,MATCH(F179,'Standard Cart Pricing Formulas'!$F:$F,0)))</f>
        <v/>
      </c>
    </row>
    <row r="180" spans="1:17" ht="15.75" x14ac:dyDescent="0.25">
      <c r="A180" s="48"/>
      <c r="B180" s="49" t="str">
        <f>INDEX('Pricing (Drugs) SS'!$B:$B,MATCH(F180,'Pricing (Drugs) SS'!$A:$A,0))</f>
        <v>4.2% SODIUM BICARBONATE INJECTION, USP 5mEq/10mL (0.5 mEq/mL) 10mL SYR</v>
      </c>
      <c r="C180" s="50" t="str">
        <f>IF(LEFT(F180,6)="Header","",INDEX('Pricing (Drugs) SS'!$E:$E,MATCH(F180,'Pricing (Drugs) SS'!$A:$A,0)))</f>
        <v>0.5 mEq/mL</v>
      </c>
      <c r="D180" s="49" t="str">
        <f>IF(LEFT(F180,6)="Header","",INDEX('Pricing (Drugs) SS'!$F:$F,MATCH(F180,'Pricing (Drugs) SS'!$A:$A,0)))</f>
        <v>10mL</v>
      </c>
      <c r="E180" s="51" t="str">
        <f>IF(LEFT(F180,6)="Header","",INDEX('Pricing (Drugs) SS'!$D:$D,MATCH(F180,'Pricing (Drugs) SS'!$A:$A,0)))</f>
        <v>0409-5534-14</v>
      </c>
      <c r="F180" s="119">
        <v>1009340</v>
      </c>
      <c r="G180" s="214" t="str">
        <f>IF(LEFT(F180,6)="Header","",INDEX('Standard Cart Pricing Formulas'!$N:$N,MATCH(F180,'Standard Cart Pricing Formulas'!$F:$F,0)))</f>
        <v/>
      </c>
      <c r="H180" s="269"/>
      <c r="I180" s="270"/>
      <c r="L180" s="16" t="str">
        <f>IF(O180="Header","",INDEX('Standard Cart Pricing Formulas'!$N:$N,MATCH(F180,'Standard Cart Pricing Formulas'!$F:$F,0)))</f>
        <v/>
      </c>
      <c r="M180" s="16" t="str">
        <f>IF(LEFT(F180,6)="Header","",INDEX('Standard Cart Pricing Formulas'!$M:$M,MATCH(F180,'Standard Cart Pricing Formulas'!$F:$F,0)))</f>
        <v/>
      </c>
      <c r="N180" s="262" cm="1">
        <f t="array" aca="1" ref="N180" ca="1">CELL("protect",A180)</f>
        <v>0</v>
      </c>
      <c r="O180" s="262" t="str">
        <f t="shared" si="8"/>
        <v>100934</v>
      </c>
      <c r="P180" s="262" t="str">
        <f t="shared" ca="1" si="7"/>
        <v>Good</v>
      </c>
      <c r="Q180" s="262" t="str">
        <f>IF(O180="header","",INDEX('Standard Cart Pricing Formulas'!$O:$O,MATCH(F180,'Standard Cart Pricing Formulas'!$F:$F,0)))</f>
        <v/>
      </c>
    </row>
    <row r="181" spans="1:17" ht="15.75" x14ac:dyDescent="0.25">
      <c r="A181" s="48"/>
      <c r="B181" s="49" t="str">
        <f>INDEX('Pricing (Drugs) SS'!$B:$B,MATCH(F181,'Pricing (Drugs) SS'!$A:$A,0))</f>
        <v>SODIUM BICARBONATE INJECTION USP, 8.4% 50 mEq/50 mL (1 mEq/mL) LUER-JET™ SYR</v>
      </c>
      <c r="C181" s="50" t="str">
        <f>IF(LEFT(F181,6)="Header","",INDEX('Pricing (Drugs) SS'!$E:$E,MATCH(F181,'Pricing (Drugs) SS'!$A:$A,0)))</f>
        <v>84mg/1mL</v>
      </c>
      <c r="D181" s="49" t="str">
        <f>IF(LEFT(F181,6)="Header","",INDEX('Pricing (Drugs) SS'!$F:$F,MATCH(F181,'Pricing (Drugs) SS'!$A:$A,0)))</f>
        <v>50 mL</v>
      </c>
      <c r="E181" s="51" t="str">
        <f>IF(LEFT(F181,6)="Header","",INDEX('Pricing (Drugs) SS'!$D:$D,MATCH(F181,'Pricing (Drugs) SS'!$A:$A,0)))</f>
        <v>76329-3352-1</v>
      </c>
      <c r="F181" s="119">
        <v>1012410</v>
      </c>
      <c r="G181" s="214" t="str">
        <f>IF(LEFT(F181,6)="Header","",INDEX('Standard Cart Pricing Formulas'!$N:$N,MATCH(F181,'Standard Cart Pricing Formulas'!$F:$F,0)))</f>
        <v/>
      </c>
      <c r="H181" s="269"/>
      <c r="I181" s="270"/>
      <c r="L181" s="16" t="str">
        <f>IF(O181="Header","",INDEX('Standard Cart Pricing Formulas'!$N:$N,MATCH(F181,'Standard Cart Pricing Formulas'!$F:$F,0)))</f>
        <v/>
      </c>
      <c r="M181" s="16" t="str">
        <f>IF(LEFT(F181,6)="Header","",INDEX('Standard Cart Pricing Formulas'!$M:$M,MATCH(F181,'Standard Cart Pricing Formulas'!$F:$F,0)))</f>
        <v/>
      </c>
      <c r="N181" s="262" cm="1">
        <f t="array" aca="1" ref="N181" ca="1">CELL("protect",A181)</f>
        <v>0</v>
      </c>
      <c r="O181" s="262" t="str">
        <f t="shared" si="8"/>
        <v>101241</v>
      </c>
      <c r="P181" s="262" t="str">
        <f t="shared" ca="1" si="7"/>
        <v>Good</v>
      </c>
      <c r="Q181" s="262" t="str">
        <f>IF(O181="header","",INDEX('Standard Cart Pricing Formulas'!$O:$O,MATCH(F181,'Standard Cart Pricing Formulas'!$F:$F,0)))</f>
        <v/>
      </c>
    </row>
    <row r="182" spans="1:17" ht="15.75" x14ac:dyDescent="0.25">
      <c r="A182" s="118"/>
      <c r="B182" s="49" t="str">
        <f>INDEX('Pricing (Drugs) SS'!$B:$B,MATCH(F182,'Pricing (Drugs) SS'!$A:$A,0))</f>
        <v>SODIUM CHLORIDE</v>
      </c>
      <c r="C182" s="50" t="str">
        <f>IF(LEFT(F182,6)="Header","",INDEX('Pricing (Drugs) SS'!$E:$E,MATCH(F182,'Pricing (Drugs) SS'!$A:$A,0)))</f>
        <v/>
      </c>
      <c r="D182" s="49" t="str">
        <f>IF(LEFT(F182,6)="Header","",INDEX('Pricing (Drugs) SS'!$F:$F,MATCH(F182,'Pricing (Drugs) SS'!$A:$A,0)))</f>
        <v/>
      </c>
      <c r="E182" s="51" t="str">
        <f>IF(LEFT(F182,6)="Header","",INDEX('Pricing (Drugs) SS'!$D:$D,MATCH(F182,'Pricing (Drugs) SS'!$A:$A,0)))</f>
        <v/>
      </c>
      <c r="F182" s="119" t="s">
        <v>1590</v>
      </c>
      <c r="G182" s="214" t="str">
        <f>IF(LEFT(F182,6)="Header","",INDEX('Standard Cart Pricing Formulas'!$N:$N,MATCH(F182,'Standard Cart Pricing Formulas'!$F:$F,0)))</f>
        <v/>
      </c>
      <c r="H182" s="51"/>
      <c r="I182" s="272"/>
      <c r="L182" s="16" t="str">
        <f>IF(O182="Header","",INDEX('Standard Cart Pricing Formulas'!$N:$N,MATCH(F182,'Standard Cart Pricing Formulas'!$F:$F,0)))</f>
        <v/>
      </c>
      <c r="M182" s="16" t="str">
        <f>IF(LEFT(F182,6)="Header","",INDEX('Standard Cart Pricing Formulas'!$M:$M,MATCH(F182,'Standard Cart Pricing Formulas'!$F:$F,0)))</f>
        <v/>
      </c>
      <c r="N182" s="262" cm="1">
        <f t="array" aca="1" ref="N182" ca="1">CELL("protect",A182)</f>
        <v>1</v>
      </c>
      <c r="O182" s="262" t="str">
        <f t="shared" si="8"/>
        <v>HEADER</v>
      </c>
      <c r="P182" s="262" t="str">
        <f t="shared" ca="1" si="7"/>
        <v>Good</v>
      </c>
      <c r="Q182" s="262" t="str">
        <f>IF(O182="header","",INDEX('Standard Cart Pricing Formulas'!$O:$O,MATCH(F182,'Standard Cart Pricing Formulas'!$F:$F,0)))</f>
        <v/>
      </c>
    </row>
    <row r="183" spans="1:17" ht="15.75" x14ac:dyDescent="0.25">
      <c r="A183" s="48"/>
      <c r="B183" s="49" t="str">
        <f>INDEX('Pricing (Drugs) SS'!$B:$B,MATCH(F183,'Pricing (Drugs) SS'!$A:$A,0))</f>
        <v>0.9% SODIUM CHLORIDE INJECTION USP ZR(TM) 10mL SYR</v>
      </c>
      <c r="C183" s="50">
        <f>IF(LEFT(F183,6)="Header","",INDEX('Pricing (Drugs) SS'!$E:$E,MATCH(F183,'Pricing (Drugs) SS'!$A:$A,0)))</f>
        <v>8.9999999999999993E-3</v>
      </c>
      <c r="D183" s="49" t="str">
        <f>IF(LEFT(F183,6)="Header","",INDEX('Pricing (Drugs) SS'!$F:$F,MATCH(F183,'Pricing (Drugs) SS'!$A:$A,0)))</f>
        <v>10mL</v>
      </c>
      <c r="E183" s="51" t="str">
        <f>IF(LEFT(F183,6)="Header","",INDEX('Pricing (Drugs) SS'!$D:$D,MATCH(F183,'Pricing (Drugs) SS'!$A:$A,0)))</f>
        <v>63807-0100-10</v>
      </c>
      <c r="F183" s="119">
        <v>1009330</v>
      </c>
      <c r="G183" s="214" t="str">
        <f>IF(LEFT(F183,6)="Header","",INDEX('Standard Cart Pricing Formulas'!$N:$N,MATCH(F183,'Standard Cart Pricing Formulas'!$F:$F,0)))</f>
        <v/>
      </c>
      <c r="H183" s="269"/>
      <c r="I183" s="270"/>
      <c r="L183" s="16" t="str">
        <f>IF(O183="Header","",INDEX('Standard Cart Pricing Formulas'!$N:$N,MATCH(F183,'Standard Cart Pricing Formulas'!$F:$F,0)))</f>
        <v/>
      </c>
      <c r="M183" s="16" t="str">
        <f>IF(LEFT(F183,6)="Header","",INDEX('Standard Cart Pricing Formulas'!$M:$M,MATCH(F183,'Standard Cart Pricing Formulas'!$F:$F,0)))</f>
        <v/>
      </c>
      <c r="N183" s="262" cm="1">
        <f t="array" aca="1" ref="N183" ca="1">CELL("protect",A183)</f>
        <v>0</v>
      </c>
      <c r="O183" s="262" t="str">
        <f t="shared" si="8"/>
        <v>100933</v>
      </c>
      <c r="P183" s="262" t="str">
        <f t="shared" ca="1" si="7"/>
        <v>Good</v>
      </c>
      <c r="Q183" s="262" t="str">
        <f>IF(O183="header","",INDEX('Standard Cart Pricing Formulas'!$O:$O,MATCH(F183,'Standard Cart Pricing Formulas'!$F:$F,0)))</f>
        <v/>
      </c>
    </row>
    <row r="184" spans="1:17" ht="15.75" x14ac:dyDescent="0.25">
      <c r="A184" s="48"/>
      <c r="B184" s="49" t="str">
        <f>INDEX('Pricing (Drugs) SS'!$B:$B,MATCH(F184,'Pricing (Drugs) SS'!$A:$A,0))</f>
        <v>0.9% SODIUM CHLORIDE INJECTION, USP 100mL BAG</v>
      </c>
      <c r="C184" s="50" t="str">
        <f>IF(LEFT(F184,6)="Header","",INDEX('Pricing (Drugs) SS'!$E:$E,MATCH(F184,'Pricing (Drugs) SS'!$A:$A,0)))</f>
        <v>0.9% PER 100mL</v>
      </c>
      <c r="D184" s="49" t="str">
        <f>IF(LEFT(F184,6)="Header","",INDEX('Pricing (Drugs) SS'!$F:$F,MATCH(F184,'Pricing (Drugs) SS'!$A:$A,0)))</f>
        <v>100mL</v>
      </c>
      <c r="E184" s="51" t="str">
        <f>IF(LEFT(F184,6)="Header","",INDEX('Pricing (Drugs) SS'!$D:$D,MATCH(F184,'Pricing (Drugs) SS'!$A:$A,0)))</f>
        <v>0990-7984-23</v>
      </c>
      <c r="F184" s="119">
        <v>1014200</v>
      </c>
      <c r="G184" s="214" t="str">
        <f>IF(LEFT(F184,6)="Header","",INDEX('Standard Cart Pricing Formulas'!$N:$N,MATCH(F184,'Standard Cart Pricing Formulas'!$F:$F,0)))</f>
        <v/>
      </c>
      <c r="H184" s="269"/>
      <c r="I184" s="270"/>
      <c r="L184" s="16" t="str">
        <f>IF(O184="Header","",INDEX('Standard Cart Pricing Formulas'!$N:$N,MATCH(F184,'Standard Cart Pricing Formulas'!$F:$F,0)))</f>
        <v/>
      </c>
      <c r="M184" s="16" t="str">
        <f>IF(LEFT(F184,6)="Header","",INDEX('Standard Cart Pricing Formulas'!$M:$M,MATCH(F184,'Standard Cart Pricing Formulas'!$F:$F,0)))</f>
        <v/>
      </c>
      <c r="N184" s="262" cm="1">
        <f t="array" aca="1" ref="N184" ca="1">CELL("protect",A184)</f>
        <v>0</v>
      </c>
      <c r="O184" s="262" t="str">
        <f t="shared" si="8"/>
        <v>101420</v>
      </c>
      <c r="P184" s="262" t="str">
        <f t="shared" ca="1" si="7"/>
        <v>Good</v>
      </c>
      <c r="Q184" s="262" t="str">
        <f>IF(O184="header","",INDEX('Standard Cart Pricing Formulas'!$O:$O,MATCH(F184,'Standard Cart Pricing Formulas'!$F:$F,0)))</f>
        <v/>
      </c>
    </row>
    <row r="185" spans="1:17" ht="15.75" x14ac:dyDescent="0.25">
      <c r="A185" s="48"/>
      <c r="B185" s="49" t="str">
        <f>INDEX('Pricing (Drugs) SS'!$B:$B,MATCH(F185,'Pricing (Drugs) SS'!$A:$A,0))</f>
        <v>0.9% SODIUM CHLORIDE INJECTION, USP 250mL BAG</v>
      </c>
      <c r="C185" s="50">
        <f>IF(LEFT(F185,6)="Header","",INDEX('Pricing (Drugs) SS'!$E:$E,MATCH(F185,'Pricing (Drugs) SS'!$A:$A,0)))</f>
        <v>8.9999999999999993E-3</v>
      </c>
      <c r="D185" s="49" t="str">
        <f>IF(LEFT(F185,6)="Header","",INDEX('Pricing (Drugs) SS'!$F:$F,MATCH(F185,'Pricing (Drugs) SS'!$A:$A,0)))</f>
        <v>250mL</v>
      </c>
      <c r="E185" s="51" t="str">
        <f>IF(LEFT(F185,6)="Header","",INDEX('Pricing (Drugs) SS'!$D:$D,MATCH(F185,'Pricing (Drugs) SS'!$A:$A,0)))</f>
        <v>0990-7983-02</v>
      </c>
      <c r="F185" s="119">
        <v>1013880</v>
      </c>
      <c r="G185" s="214" t="str">
        <f>IF(LEFT(F185,6)="Header","",INDEX('Standard Cart Pricing Formulas'!$N:$N,MATCH(F185,'Standard Cart Pricing Formulas'!$F:$F,0)))</f>
        <v/>
      </c>
      <c r="H185" s="269"/>
      <c r="I185" s="270"/>
      <c r="L185" s="16" t="str">
        <f>IF(O185="Header","",INDEX('Standard Cart Pricing Formulas'!$N:$N,MATCH(F185,'Standard Cart Pricing Formulas'!$F:$F,0)))</f>
        <v/>
      </c>
      <c r="M185" s="16" t="str">
        <f>IF(LEFT(F185,6)="Header","",INDEX('Standard Cart Pricing Formulas'!$M:$M,MATCH(F185,'Standard Cart Pricing Formulas'!$F:$F,0)))</f>
        <v/>
      </c>
      <c r="N185" s="262" cm="1">
        <f t="array" aca="1" ref="N185" ca="1">CELL("protect",A185)</f>
        <v>0</v>
      </c>
      <c r="O185" s="262" t="str">
        <f t="shared" si="8"/>
        <v>101388</v>
      </c>
      <c r="P185" s="262" t="str">
        <f t="shared" ca="1" si="7"/>
        <v>Good</v>
      </c>
      <c r="Q185" s="262" t="str">
        <f>IF(O185="header","",INDEX('Standard Cart Pricing Formulas'!$O:$O,MATCH(F185,'Standard Cart Pricing Formulas'!$F:$F,0)))</f>
        <v/>
      </c>
    </row>
    <row r="186" spans="1:17" ht="15.75" x14ac:dyDescent="0.25">
      <c r="A186" s="48"/>
      <c r="B186" s="49" t="str">
        <f>INDEX('Pricing (Drugs) SS'!$B:$B,MATCH(F186,'Pricing (Drugs) SS'!$A:$A,0))</f>
        <v>0.9% SODIUM CHLORIDE INJECTION, USP 500mL BAG</v>
      </c>
      <c r="C186" s="50" t="str">
        <f>IF(LEFT(F186,6)="Header","",INDEX('Pricing (Drugs) SS'!$E:$E,MATCH(F186,'Pricing (Drugs) SS'!$A:$A,0)))</f>
        <v>0.9% 500mL</v>
      </c>
      <c r="D186" s="49" t="str">
        <f>IF(LEFT(F186,6)="Header","",INDEX('Pricing (Drugs) SS'!$F:$F,MATCH(F186,'Pricing (Drugs) SS'!$A:$A,0)))</f>
        <v>500mL</v>
      </c>
      <c r="E186" s="51" t="str">
        <f>IF(LEFT(F186,6)="Header","",INDEX('Pricing (Drugs) SS'!$D:$D,MATCH(F186,'Pricing (Drugs) SS'!$A:$A,0)))</f>
        <v>0990-7983-55</v>
      </c>
      <c r="F186" s="119">
        <v>1014510</v>
      </c>
      <c r="G186" s="214" t="str">
        <f>IF(LEFT(F186,6)="Header","",INDEX('Standard Cart Pricing Formulas'!$N:$N,MATCH(F186,'Standard Cart Pricing Formulas'!$F:$F,0)))</f>
        <v/>
      </c>
      <c r="H186" s="269"/>
      <c r="I186" s="270"/>
      <c r="L186" s="16" t="str">
        <f>IF(O186="Header","",INDEX('Standard Cart Pricing Formulas'!$N:$N,MATCH(F186,'Standard Cart Pricing Formulas'!$F:$F,0)))</f>
        <v/>
      </c>
      <c r="M186" s="16" t="str">
        <f>IF(LEFT(F186,6)="Header","",INDEX('Standard Cart Pricing Formulas'!$M:$M,MATCH(F186,'Standard Cart Pricing Formulas'!$F:$F,0)))</f>
        <v/>
      </c>
      <c r="N186" s="262" cm="1">
        <f t="array" aca="1" ref="N186" ca="1">CELL("protect",A186)</f>
        <v>0</v>
      </c>
      <c r="O186" s="262" t="str">
        <f t="shared" si="8"/>
        <v>101451</v>
      </c>
      <c r="P186" s="262" t="str">
        <f t="shared" ca="1" si="7"/>
        <v>Good</v>
      </c>
      <c r="Q186" s="262" t="str">
        <f>IF(O186="header","",INDEX('Standard Cart Pricing Formulas'!$O:$O,MATCH(F186,'Standard Cart Pricing Formulas'!$F:$F,0)))</f>
        <v/>
      </c>
    </row>
    <row r="187" spans="1:17" ht="15.75" x14ac:dyDescent="0.25">
      <c r="A187" s="48"/>
      <c r="B187" s="49" t="str">
        <f>INDEX('Pricing (Drugs) SS'!$B:$B,MATCH(F187,'Pricing (Drugs) SS'!$A:$A,0))</f>
        <v>0.9% SODIUM CHLORIDE INJECTION, USP 1000mL BAG</v>
      </c>
      <c r="C187" s="50">
        <f>IF(LEFT(F187,6)="Header","",INDEX('Pricing (Drugs) SS'!$E:$E,MATCH(F187,'Pricing (Drugs) SS'!$A:$A,0)))</f>
        <v>8.9999999999999993E-3</v>
      </c>
      <c r="D187" s="49" t="str">
        <f>IF(LEFT(F187,6)="Header","",INDEX('Pricing (Drugs) SS'!$F:$F,MATCH(F187,'Pricing (Drugs) SS'!$A:$A,0)))</f>
        <v>1000mL</v>
      </c>
      <c r="E187" s="51" t="str">
        <f>IF(LEFT(F187,6)="Header","",INDEX('Pricing (Drugs) SS'!$D:$D,MATCH(F187,'Pricing (Drugs) SS'!$A:$A,0)))</f>
        <v>0990-7983-09</v>
      </c>
      <c r="F187" s="119">
        <v>1013890</v>
      </c>
      <c r="G187" s="214" t="str">
        <f>IF(LEFT(F187,6)="Header","",INDEX('Standard Cart Pricing Formulas'!$N:$N,MATCH(F187,'Standard Cart Pricing Formulas'!$F:$F,0)))</f>
        <v/>
      </c>
      <c r="H187" s="269"/>
      <c r="I187" s="270"/>
      <c r="L187" s="16" t="str">
        <f>IF(O187="Header","",INDEX('Standard Cart Pricing Formulas'!$N:$N,MATCH(F187,'Standard Cart Pricing Formulas'!$F:$F,0)))</f>
        <v/>
      </c>
      <c r="M187" s="16" t="str">
        <f>IF(LEFT(F187,6)="Header","",INDEX('Standard Cart Pricing Formulas'!$M:$M,MATCH(F187,'Standard Cart Pricing Formulas'!$F:$F,0)))</f>
        <v/>
      </c>
      <c r="N187" s="262" cm="1">
        <f t="array" aca="1" ref="N187" ca="1">CELL("protect",A187)</f>
        <v>0</v>
      </c>
      <c r="O187" s="262" t="str">
        <f t="shared" si="8"/>
        <v>101389</v>
      </c>
      <c r="P187" s="262" t="str">
        <f t="shared" ca="1" si="7"/>
        <v>Good</v>
      </c>
      <c r="Q187" s="262" t="str">
        <f>IF(O187="header","",INDEX('Standard Cart Pricing Formulas'!$O:$O,MATCH(F187,'Standard Cart Pricing Formulas'!$F:$F,0)))</f>
        <v/>
      </c>
    </row>
    <row r="188" spans="1:17" ht="15.75" x14ac:dyDescent="0.25">
      <c r="A188" s="118"/>
      <c r="B188" s="49" t="str">
        <f>INDEX('Pricing (Drugs) SS'!$B:$B,MATCH(F188,'Pricing (Drugs) SS'!$A:$A,0))</f>
        <v>SUCCINYLCHOLINE/RECURONIUM/VECURONIUM</v>
      </c>
      <c r="C188" s="50" t="str">
        <f>IF(LEFT(F188,6)="Header","",INDEX('Pricing (Drugs) SS'!$E:$E,MATCH(F188,'Pricing (Drugs) SS'!$A:$A,0)))</f>
        <v/>
      </c>
      <c r="D188" s="49" t="str">
        <f>IF(LEFT(F188,6)="Header","",INDEX('Pricing (Drugs) SS'!$F:$F,MATCH(F188,'Pricing (Drugs) SS'!$A:$A,0)))</f>
        <v/>
      </c>
      <c r="E188" s="51" t="str">
        <f>IF(LEFT(F188,6)="Header","",INDEX('Pricing (Drugs) SS'!$D:$D,MATCH(F188,'Pricing (Drugs) SS'!$A:$A,0)))</f>
        <v/>
      </c>
      <c r="F188" s="119" t="s">
        <v>1591</v>
      </c>
      <c r="G188" s="214" t="str">
        <f>IF(LEFT(F188,6)="Header","",INDEX('Standard Cart Pricing Formulas'!$N:$N,MATCH(F188,'Standard Cart Pricing Formulas'!$F:$F,0)))</f>
        <v/>
      </c>
      <c r="H188" s="51"/>
      <c r="I188" s="272"/>
      <c r="L188" s="16" t="str">
        <f>IF(O188="Header","",INDEX('Standard Cart Pricing Formulas'!$N:$N,MATCH(F188,'Standard Cart Pricing Formulas'!$F:$F,0)))</f>
        <v/>
      </c>
      <c r="M188" s="16" t="str">
        <f>IF(LEFT(F188,6)="Header","",INDEX('Standard Cart Pricing Formulas'!$M:$M,MATCH(F188,'Standard Cart Pricing Formulas'!$F:$F,0)))</f>
        <v/>
      </c>
      <c r="N188" s="262" cm="1">
        <f t="array" aca="1" ref="N188" ca="1">CELL("protect",A188)</f>
        <v>1</v>
      </c>
      <c r="O188" s="262" t="str">
        <f t="shared" si="8"/>
        <v>HEADER</v>
      </c>
      <c r="P188" s="262" t="str">
        <f t="shared" ca="1" si="7"/>
        <v>Good</v>
      </c>
      <c r="Q188" s="262" t="str">
        <f>IF(O188="header","",INDEX('Standard Cart Pricing Formulas'!$O:$O,MATCH(F188,'Standard Cart Pricing Formulas'!$F:$F,0)))</f>
        <v/>
      </c>
    </row>
    <row r="189" spans="1:17" ht="15.75" x14ac:dyDescent="0.25">
      <c r="A189" s="48"/>
      <c r="B189" s="49" t="str">
        <f>INDEX('Pricing (Drugs) SS'!$B:$B,MATCH(F189,'Pricing (Drugs) SS'!$A:$A,0))</f>
        <v>SUCCINYLCHOLINE CHLORIDE INJECTION, USP 200mg/10mL (20mg/mL) 10mL VIAL</v>
      </c>
      <c r="C189" s="50" t="str">
        <f>IF(LEFT(F189,6)="Header","",INDEX('Pricing (Drugs) SS'!$E:$E,MATCH(F189,'Pricing (Drugs) SS'!$A:$A,0)))</f>
        <v>20mg/mL</v>
      </c>
      <c r="D189" s="49" t="str">
        <f>IF(LEFT(F189,6)="Header","",INDEX('Pricing (Drugs) SS'!$F:$F,MATCH(F189,'Pricing (Drugs) SS'!$A:$A,0)))</f>
        <v>10mL</v>
      </c>
      <c r="E189" s="51" t="str">
        <f>IF(LEFT(F189,6)="Header","",INDEX('Pricing (Drugs) SS'!$D:$D,MATCH(F189,'Pricing (Drugs) SS'!$A:$A,0)))</f>
        <v>43598-666-25</v>
      </c>
      <c r="F189" s="119">
        <v>1015360</v>
      </c>
      <c r="G189" s="214" t="str">
        <f>IF(LEFT(F189,6)="Header","",INDEX('Standard Cart Pricing Formulas'!$N:$N,MATCH(F189,'Standard Cart Pricing Formulas'!$F:$F,0)))</f>
        <v>X</v>
      </c>
      <c r="H189" s="269"/>
      <c r="I189" s="270"/>
      <c r="L189" s="16" t="str">
        <f>IF(O189="Header","",INDEX('Standard Cart Pricing Formulas'!$N:$N,MATCH(F189,'Standard Cart Pricing Formulas'!$F:$F,0)))</f>
        <v>X</v>
      </c>
      <c r="M189" s="16" t="str">
        <f>IF(LEFT(F189,6)="Header","",INDEX('Standard Cart Pricing Formulas'!$M:$M,MATCH(F189,'Standard Cart Pricing Formulas'!$F:$F,0)))</f>
        <v>C</v>
      </c>
      <c r="N189" s="262" cm="1">
        <f t="array" aca="1" ref="N189" ca="1">CELL("protect",A189)</f>
        <v>0</v>
      </c>
      <c r="O189" s="262" t="str">
        <f t="shared" si="8"/>
        <v>101536</v>
      </c>
      <c r="P189" s="262" t="str">
        <f t="shared" ca="1" si="7"/>
        <v>Good</v>
      </c>
      <c r="Q189" s="262" t="str">
        <f>IF(O189="header","",INDEX('Standard Cart Pricing Formulas'!$O:$O,MATCH(F189,'Standard Cart Pricing Formulas'!$F:$F,0)))</f>
        <v/>
      </c>
    </row>
    <row r="190" spans="1:17" ht="15.75" x14ac:dyDescent="0.25">
      <c r="A190" s="48"/>
      <c r="B190" s="49" t="str">
        <f>INDEX('Pricing (Drugs) SS'!$B:$B,MATCH(F190,'Pricing (Drugs) SS'!$A:$A,0))</f>
        <v>ROCURONIUM BROMIDE INJECTION, 50mg PER 5mL (10mg/mL) 5mL VIAL</v>
      </c>
      <c r="C190" s="50" t="str">
        <f>IF(LEFT(F190,6)="Header","",INDEX('Pricing (Drugs) SS'!$E:$E,MATCH(F190,'Pricing (Drugs) SS'!$A:$A,0)))</f>
        <v>10mg/mL</v>
      </c>
      <c r="D190" s="49" t="str">
        <f>IF(LEFT(F190,6)="Header","",INDEX('Pricing (Drugs) SS'!$F:$F,MATCH(F190,'Pricing (Drugs) SS'!$A:$A,0)))</f>
        <v>5mL</v>
      </c>
      <c r="E190" s="51" t="str">
        <f>IF(LEFT(F190,6)="Header","",INDEX('Pricing (Drugs) SS'!$D:$D,MATCH(F190,'Pricing (Drugs) SS'!$A:$A,0)))</f>
        <v>55150-225-05</v>
      </c>
      <c r="F190" s="119">
        <v>1016210</v>
      </c>
      <c r="G190" s="214" t="str">
        <f>IF(LEFT(F190,6)="Header","",INDEX('Standard Cart Pricing Formulas'!$N:$N,MATCH(F190,'Standard Cart Pricing Formulas'!$F:$F,0)))</f>
        <v>X</v>
      </c>
      <c r="H190" s="269"/>
      <c r="I190" s="270"/>
      <c r="L190" s="16" t="str">
        <f>IF(O190="Header","",INDEX('Standard Cart Pricing Formulas'!$N:$N,MATCH(F190,'Standard Cart Pricing Formulas'!$F:$F,0)))</f>
        <v>X</v>
      </c>
      <c r="M190" s="16" t="str">
        <f>IF(LEFT(F190,6)="Header","",INDEX('Standard Cart Pricing Formulas'!$M:$M,MATCH(F190,'Standard Cart Pricing Formulas'!$F:$F,0)))</f>
        <v>C</v>
      </c>
      <c r="N190" s="262" cm="1">
        <f t="array" aca="1" ref="N190" ca="1">CELL("protect",A190)</f>
        <v>0</v>
      </c>
      <c r="O190" s="262" t="str">
        <f t="shared" si="8"/>
        <v>101621</v>
      </c>
      <c r="P190" s="262" t="str">
        <f t="shared" ca="1" si="7"/>
        <v>Good</v>
      </c>
      <c r="Q190" s="262" t="str">
        <f>IF(O190="header","",INDEX('Standard Cart Pricing Formulas'!$O:$O,MATCH(F190,'Standard Cart Pricing Formulas'!$F:$F,0)))</f>
        <v/>
      </c>
    </row>
    <row r="191" spans="1:17" ht="15.75" x14ac:dyDescent="0.25">
      <c r="A191" s="48"/>
      <c r="B191" s="49" t="str">
        <f>INDEX('Pricing (Drugs) SS'!$B:$B,MATCH(F191,'Pricing (Drugs) SS'!$A:$A,0))</f>
        <v>ROCURONIUM BROMIDE INJECTION 100mg PER 10mL (10mg/mL) 10mL VIAL</v>
      </c>
      <c r="C191" s="50" t="str">
        <f>IF(LEFT(F191,6)="Header","",INDEX('Pricing (Drugs) SS'!$E:$E,MATCH(F191,'Pricing (Drugs) SS'!$A:$A,0)))</f>
        <v>10mg/mL</v>
      </c>
      <c r="D191" s="49" t="str">
        <f>IF(LEFT(F191,6)="Header","",INDEX('Pricing (Drugs) SS'!$F:$F,MATCH(F191,'Pricing (Drugs) SS'!$A:$A,0)))</f>
        <v>10mL</v>
      </c>
      <c r="E191" s="51" t="str">
        <f>IF(LEFT(F191,6)="Header","",INDEX('Pricing (Drugs) SS'!$D:$D,MATCH(F191,'Pricing (Drugs) SS'!$A:$A,0)))</f>
        <v>55150-226-10</v>
      </c>
      <c r="F191" s="119">
        <v>1016200</v>
      </c>
      <c r="G191" s="214" t="str">
        <f>IF(LEFT(F191,6)="Header","",INDEX('Standard Cart Pricing Formulas'!$N:$N,MATCH(F191,'Standard Cart Pricing Formulas'!$F:$F,0)))</f>
        <v>X</v>
      </c>
      <c r="H191" s="269"/>
      <c r="I191" s="270"/>
      <c r="L191" s="16" t="str">
        <f>IF(O191="Header","",INDEX('Standard Cart Pricing Formulas'!$N:$N,MATCH(F191,'Standard Cart Pricing Formulas'!$F:$F,0)))</f>
        <v>X</v>
      </c>
      <c r="M191" s="16" t="str">
        <f>IF(LEFT(F191,6)="Header","",INDEX('Standard Cart Pricing Formulas'!$M:$M,MATCH(F191,'Standard Cart Pricing Formulas'!$F:$F,0)))</f>
        <v>C</v>
      </c>
      <c r="N191" s="262" cm="1">
        <f t="array" aca="1" ref="N191" ca="1">CELL("protect",A191)</f>
        <v>0</v>
      </c>
      <c r="O191" s="262" t="str">
        <f t="shared" si="8"/>
        <v>101620</v>
      </c>
      <c r="P191" s="262" t="str">
        <f t="shared" ca="1" si="7"/>
        <v>Good</v>
      </c>
      <c r="Q191" s="262" t="str">
        <f>IF(O191="header","",INDEX('Standard Cart Pricing Formulas'!$O:$O,MATCH(F191,'Standard Cart Pricing Formulas'!$F:$F,0)))</f>
        <v/>
      </c>
    </row>
    <row r="192" spans="1:17" ht="15.75" x14ac:dyDescent="0.25">
      <c r="A192" s="48"/>
      <c r="B192" s="49" t="str">
        <f>INDEX('Pricing (Drugs) SS'!$B:$B,MATCH(F192,'Pricing (Drugs) SS'!$A:$A,0))</f>
        <v>VECURONIUM BROMIDE FOR INJECTION 10mg 1mg/mL 10mL VIAL</v>
      </c>
      <c r="C192" s="50" t="str">
        <f>IF(LEFT(F192,6)="Header","",INDEX('Pricing (Drugs) SS'!$E:$E,MATCH(F192,'Pricing (Drugs) SS'!$A:$A,0)))</f>
        <v>1mg/mL</v>
      </c>
      <c r="D192" s="49" t="str">
        <f>IF(LEFT(F192,6)="Header","",INDEX('Pricing (Drugs) SS'!$F:$F,MATCH(F192,'Pricing (Drugs) SS'!$A:$A,0)))</f>
        <v>10mL</v>
      </c>
      <c r="E192" s="51" t="str">
        <f>IF(LEFT(F192,6)="Header","",INDEX('Pricing (Drugs) SS'!$D:$D,MATCH(F192,'Pricing (Drugs) SS'!$A:$A,0)))</f>
        <v>0409-1632-01</v>
      </c>
      <c r="F192" s="119">
        <v>1012950</v>
      </c>
      <c r="G192" s="214" t="str">
        <f>IF(LEFT(F192,6)="Header","",INDEX('Standard Cart Pricing Formulas'!$N:$N,MATCH(F192,'Standard Cart Pricing Formulas'!$F:$F,0)))</f>
        <v>X</v>
      </c>
      <c r="H192" s="269"/>
      <c r="I192" s="270"/>
      <c r="L192" s="16" t="str">
        <f>IF(O192="Header","",INDEX('Standard Cart Pricing Formulas'!$N:$N,MATCH(F192,'Standard Cart Pricing Formulas'!$F:$F,0)))</f>
        <v>X</v>
      </c>
      <c r="M192" s="16" t="str">
        <f>IF(LEFT(F192,6)="Header","",INDEX('Standard Cart Pricing Formulas'!$M:$M,MATCH(F192,'Standard Cart Pricing Formulas'!$F:$F,0)))</f>
        <v/>
      </c>
      <c r="N192" s="262" cm="1">
        <f t="array" aca="1" ref="N192" ca="1">CELL("protect",A192)</f>
        <v>0</v>
      </c>
      <c r="O192" s="262" t="str">
        <f t="shared" si="8"/>
        <v>101295</v>
      </c>
      <c r="P192" s="262" t="str">
        <f t="shared" ca="1" si="7"/>
        <v>Good</v>
      </c>
      <c r="Q192" s="262" t="str">
        <f>IF(O192="header","",INDEX('Standard Cart Pricing Formulas'!$O:$O,MATCH(F192,'Standard Cart Pricing Formulas'!$F:$F,0)))</f>
        <v/>
      </c>
    </row>
    <row r="193" spans="1:17" ht="15.75" x14ac:dyDescent="0.25">
      <c r="A193" s="48"/>
      <c r="B193" s="49" t="str">
        <f>INDEX('Pricing (Drugs) SS'!$B:$B,MATCH(F193,'Pricing (Drugs) SS'!$A:$A,0))</f>
        <v>VECURONIUM BROMIDE FOR INJECTION, 10mg PER VIAL* 10mL VIAL</v>
      </c>
      <c r="C193" s="50" t="str">
        <f>IF(LEFT(F193,6)="Header","",INDEX('Pricing (Drugs) SS'!$E:$E,MATCH(F193,'Pricing (Drugs) SS'!$A:$A,0)))</f>
        <v>1mg/mL</v>
      </c>
      <c r="D193" s="49" t="str">
        <f>IF(LEFT(F193,6)="Header","",INDEX('Pricing (Drugs) SS'!$F:$F,MATCH(F193,'Pricing (Drugs) SS'!$A:$A,0)))</f>
        <v>10mL</v>
      </c>
      <c r="E193" s="51" t="str">
        <f>IF(LEFT(F193,6)="Header","",INDEX('Pricing (Drugs) SS'!$D:$D,MATCH(F193,'Pricing (Drugs) SS'!$A:$A,0)))</f>
        <v>55150-235-10</v>
      </c>
      <c r="F193" s="119">
        <v>1016220</v>
      </c>
      <c r="G193" s="214" t="str">
        <f>IF(LEFT(F193,6)="Header","",INDEX('Standard Cart Pricing Formulas'!$N:$N,MATCH(F193,'Standard Cart Pricing Formulas'!$F:$F,0)))</f>
        <v>X</v>
      </c>
      <c r="H193" s="269"/>
      <c r="I193" s="270"/>
      <c r="L193" s="16" t="str">
        <f>IF(O193="Header","",INDEX('Standard Cart Pricing Formulas'!$N:$N,MATCH(F193,'Standard Cart Pricing Formulas'!$F:$F,0)))</f>
        <v>X</v>
      </c>
      <c r="M193" s="16" t="str">
        <f>IF(LEFT(F193,6)="Header","",INDEX('Standard Cart Pricing Formulas'!$M:$M,MATCH(F193,'Standard Cart Pricing Formulas'!$F:$F,0)))</f>
        <v/>
      </c>
      <c r="N193" s="262" cm="1">
        <f t="array" aca="1" ref="N193" ca="1">CELL("protect",A193)</f>
        <v>0</v>
      </c>
      <c r="O193" s="262" t="str">
        <f t="shared" si="8"/>
        <v>101622</v>
      </c>
      <c r="P193" s="262" t="str">
        <f t="shared" ca="1" si="7"/>
        <v>Good</v>
      </c>
      <c r="Q193" s="262" t="str">
        <f>IF(O193="header","",INDEX('Standard Cart Pricing Formulas'!$O:$O,MATCH(F193,'Standard Cart Pricing Formulas'!$F:$F,0)))</f>
        <v/>
      </c>
    </row>
    <row r="194" spans="1:17" ht="15.75" x14ac:dyDescent="0.25">
      <c r="A194" s="118"/>
      <c r="B194" s="49" t="str">
        <f>INDEX('Pricing (Drugs) SS'!$B:$B,MATCH(F194,'Pricing (Drugs) SS'!$A:$A,0))</f>
        <v>TRANEXAMIC ACID</v>
      </c>
      <c r="C194" s="50" t="str">
        <f>IF(LEFT(F194,6)="Header","",INDEX('Pricing (Drugs) SS'!$E:$E,MATCH(F194,'Pricing (Drugs) SS'!$A:$A,0)))</f>
        <v/>
      </c>
      <c r="D194" s="49" t="str">
        <f>IF(LEFT(F194,6)="Header","",INDEX('Pricing (Drugs) SS'!$F:$F,MATCH(F194,'Pricing (Drugs) SS'!$A:$A,0)))</f>
        <v/>
      </c>
      <c r="E194" s="51" t="str">
        <f>IF(LEFT(F194,6)="Header","",INDEX('Pricing (Drugs) SS'!$D:$D,MATCH(F194,'Pricing (Drugs) SS'!$A:$A,0)))</f>
        <v/>
      </c>
      <c r="F194" s="119" t="s">
        <v>1592</v>
      </c>
      <c r="G194" s="214" t="str">
        <f>IF(LEFT(F194,6)="Header","",INDEX('Standard Cart Pricing Formulas'!$N:$N,MATCH(F194,'Standard Cart Pricing Formulas'!$F:$F,0)))</f>
        <v/>
      </c>
      <c r="H194" s="51"/>
      <c r="I194" s="272"/>
      <c r="L194" s="16" t="str">
        <f>IF(O194="Header","",INDEX('Standard Cart Pricing Formulas'!$N:$N,MATCH(F194,'Standard Cart Pricing Formulas'!$F:$F,0)))</f>
        <v/>
      </c>
      <c r="M194" s="16" t="str">
        <f>IF(LEFT(F194,6)="Header","",INDEX('Standard Cart Pricing Formulas'!$M:$M,MATCH(F194,'Standard Cart Pricing Formulas'!$F:$F,0)))</f>
        <v/>
      </c>
      <c r="N194" s="262" cm="1">
        <f t="array" aca="1" ref="N194" ca="1">CELL("protect",A194)</f>
        <v>1</v>
      </c>
      <c r="O194" s="262" t="str">
        <f t="shared" si="8"/>
        <v>HEADER</v>
      </c>
      <c r="P194" s="262" t="str">
        <f t="shared" ca="1" si="7"/>
        <v>Good</v>
      </c>
      <c r="Q194" s="262" t="str">
        <f>IF(O194="header","",INDEX('Standard Cart Pricing Formulas'!$O:$O,MATCH(F194,'Standard Cart Pricing Formulas'!$F:$F,0)))</f>
        <v/>
      </c>
    </row>
    <row r="195" spans="1:17" ht="15.75" x14ac:dyDescent="0.25">
      <c r="A195" s="48"/>
      <c r="B195" s="49" t="str">
        <f>INDEX('Pricing (Drugs) SS'!$B:$B,MATCH(F195,'Pricing (Drugs) SS'!$A:$A,0))</f>
        <v>TRANEXAMIC ACID INJECTION 1000mg PER 10mL (100mg/mL) 10mL VIAL</v>
      </c>
      <c r="C195" s="50" t="str">
        <f>IF(LEFT(F195,6)="Header","",INDEX('Pricing (Drugs) SS'!$E:$E,MATCH(F195,'Pricing (Drugs) SS'!$A:$A,0)))</f>
        <v>100mg/mL</v>
      </c>
      <c r="D195" s="49" t="str">
        <f>IF(LEFT(F195,6)="Header","",INDEX('Pricing (Drugs) SS'!$F:$F,MATCH(F195,'Pricing (Drugs) SS'!$A:$A,0)))</f>
        <v>10mL</v>
      </c>
      <c r="E195" s="51" t="str">
        <f>IF(LEFT(F195,6)="Header","",INDEX('Pricing (Drugs) SS'!$D:$D,MATCH(F195,'Pricing (Drugs) SS'!$A:$A,0)))</f>
        <v>55150-188-10</v>
      </c>
      <c r="F195" s="119">
        <v>1015840</v>
      </c>
      <c r="G195" s="214" t="str">
        <f>IF(LEFT(F195,6)="Header","",INDEX('Standard Cart Pricing Formulas'!$N:$N,MATCH(F195,'Standard Cart Pricing Formulas'!$F:$F,0)))</f>
        <v/>
      </c>
      <c r="H195" s="269"/>
      <c r="I195" s="270"/>
      <c r="L195" s="16" t="str">
        <f>IF(O195="Header","",INDEX('Standard Cart Pricing Formulas'!$N:$N,MATCH(F195,'Standard Cart Pricing Formulas'!$F:$F,0)))</f>
        <v/>
      </c>
      <c r="M195" s="16" t="str">
        <f>IF(LEFT(F195,6)="Header","",INDEX('Standard Cart Pricing Formulas'!$M:$M,MATCH(F195,'Standard Cart Pricing Formulas'!$F:$F,0)))</f>
        <v/>
      </c>
      <c r="N195" s="262" cm="1">
        <f t="array" aca="1" ref="N195" ca="1">CELL("protect",A195)</f>
        <v>0</v>
      </c>
      <c r="O195" s="262" t="str">
        <f t="shared" si="8"/>
        <v>101584</v>
      </c>
      <c r="P195" s="262" t="str">
        <f t="shared" ca="1" si="7"/>
        <v>Good</v>
      </c>
      <c r="Q195" s="262" t="str">
        <f>IF(O195="header","",INDEX('Standard Cart Pricing Formulas'!$O:$O,MATCH(F195,'Standard Cart Pricing Formulas'!$F:$F,0)))</f>
        <v/>
      </c>
    </row>
    <row r="196" spans="1:17" ht="15.75" x14ac:dyDescent="0.25">
      <c r="A196" s="118"/>
      <c r="B196" s="49" t="str">
        <f>INDEX('Pricing (Drugs) SS'!$B:$B,MATCH(F196,'Pricing (Drugs) SS'!$A:$A,0))</f>
        <v>VASOPRESSIN</v>
      </c>
      <c r="C196" s="50" t="str">
        <f>IF(LEFT(F196,6)="Header","",INDEX('Pricing (Drugs) SS'!$E:$E,MATCH(F196,'Pricing (Drugs) SS'!$A:$A,0)))</f>
        <v/>
      </c>
      <c r="D196" s="49" t="str">
        <f>IF(LEFT(F196,6)="Header","",INDEX('Pricing (Drugs) SS'!$F:$F,MATCH(F196,'Pricing (Drugs) SS'!$A:$A,0)))</f>
        <v/>
      </c>
      <c r="E196" s="51" t="str">
        <f>IF(LEFT(F196,6)="Header","",INDEX('Pricing (Drugs) SS'!$D:$D,MATCH(F196,'Pricing (Drugs) SS'!$A:$A,0)))</f>
        <v/>
      </c>
      <c r="F196" s="119" t="s">
        <v>1593</v>
      </c>
      <c r="G196" s="214" t="str">
        <f>IF(LEFT(F196,6)="Header","",INDEX('Standard Cart Pricing Formulas'!$N:$N,MATCH(F196,'Standard Cart Pricing Formulas'!$F:$F,0)))</f>
        <v/>
      </c>
      <c r="H196" s="51"/>
      <c r="I196" s="272"/>
      <c r="L196" s="16" t="str">
        <f>IF(O196="Header","",INDEX('Standard Cart Pricing Formulas'!$N:$N,MATCH(F196,'Standard Cart Pricing Formulas'!$F:$F,0)))</f>
        <v/>
      </c>
      <c r="M196" s="16" t="str">
        <f>IF(LEFT(F196,6)="Header","",INDEX('Standard Cart Pricing Formulas'!$M:$M,MATCH(F196,'Standard Cart Pricing Formulas'!$F:$F,0)))</f>
        <v/>
      </c>
      <c r="N196" s="262" cm="1">
        <f t="array" aca="1" ref="N196" ca="1">CELL("protect",A196)</f>
        <v>1</v>
      </c>
      <c r="O196" s="262" t="str">
        <f t="shared" si="8"/>
        <v>HEADER</v>
      </c>
      <c r="P196" s="262" t="str">
        <f t="shared" ca="1" si="7"/>
        <v>Good</v>
      </c>
      <c r="Q196" s="262" t="str">
        <f>IF(O196="header","",INDEX('Standard Cart Pricing Formulas'!$O:$O,MATCH(F196,'Standard Cart Pricing Formulas'!$F:$F,0)))</f>
        <v/>
      </c>
    </row>
    <row r="197" spans="1:17" ht="15.75" x14ac:dyDescent="0.25">
      <c r="A197" s="48"/>
      <c r="B197" s="49" t="str">
        <f>INDEX('Pricing (Drugs) SS'!$B:$B,MATCH(F197,'Pricing (Drugs) SS'!$A:$A,0))</f>
        <v>VASOSTRICT(TM) (VASOPRESSIN INJECTION, USP) 20 UNITS PER mL 1mL VIAL</v>
      </c>
      <c r="C197" s="50" t="str">
        <f>IF(LEFT(F197,6)="Header","",INDEX('Pricing (Drugs) SS'!$E:$E,MATCH(F197,'Pricing (Drugs) SS'!$A:$A,0)))</f>
        <v>20 UNITS PER mL</v>
      </c>
      <c r="D197" s="49" t="str">
        <f>IF(LEFT(F197,6)="Header","",INDEX('Pricing (Drugs) SS'!$F:$F,MATCH(F197,'Pricing (Drugs) SS'!$A:$A,0)))</f>
        <v>1mL</v>
      </c>
      <c r="E197" s="51" t="str">
        <f>IF(LEFT(F197,6)="Header","",INDEX('Pricing (Drugs) SS'!$D:$D,MATCH(F197,'Pricing (Drugs) SS'!$A:$A,0)))</f>
        <v>42023-0164-25</v>
      </c>
      <c r="F197" s="119">
        <v>1009720</v>
      </c>
      <c r="G197" s="214" t="str">
        <f>IF(LEFT(F197,6)="Header","",INDEX('Standard Cart Pricing Formulas'!$N:$N,MATCH(F197,'Standard Cart Pricing Formulas'!$F:$F,0)))</f>
        <v/>
      </c>
      <c r="H197" s="269"/>
      <c r="I197" s="270"/>
      <c r="L197" s="16" t="str">
        <f>IF(O197="Header","",INDEX('Standard Cart Pricing Formulas'!$N:$N,MATCH(F197,'Standard Cart Pricing Formulas'!$F:$F,0)))</f>
        <v/>
      </c>
      <c r="M197" s="16" t="str">
        <f>IF(LEFT(F197,6)="Header","",INDEX('Standard Cart Pricing Formulas'!$M:$M,MATCH(F197,'Standard Cart Pricing Formulas'!$F:$F,0)))</f>
        <v>C</v>
      </c>
      <c r="N197" s="262" cm="1">
        <f t="array" aca="1" ref="N197" ca="1">CELL("protect",A197)</f>
        <v>0</v>
      </c>
      <c r="O197" s="262" t="str">
        <f t="shared" si="8"/>
        <v>100972</v>
      </c>
      <c r="P197" s="262" t="str">
        <f t="shared" ca="1" si="7"/>
        <v>Good</v>
      </c>
      <c r="Q197" s="262" t="str">
        <f>IF(O197="header","",INDEX('Standard Cart Pricing Formulas'!$O:$O,MATCH(F197,'Standard Cart Pricing Formulas'!$F:$F,0)))</f>
        <v/>
      </c>
    </row>
    <row r="198" spans="1:17" ht="15.75" x14ac:dyDescent="0.25">
      <c r="A198" s="118"/>
      <c r="B198" s="49" t="str">
        <f>INDEX('Pricing (Drugs) SS'!$B:$B,MATCH(F198,'Pricing (Drugs) SS'!$A:$A,0))</f>
        <v>VERAPAMIL</v>
      </c>
      <c r="C198" s="50" t="str">
        <f>IF(LEFT(F198,6)="Header","",INDEX('Pricing (Drugs) SS'!$E:$E,MATCH(F198,'Pricing (Drugs) SS'!$A:$A,0)))</f>
        <v/>
      </c>
      <c r="D198" s="49" t="str">
        <f>IF(LEFT(F198,6)="Header","",INDEX('Pricing (Drugs) SS'!$F:$F,MATCH(F198,'Pricing (Drugs) SS'!$A:$A,0)))</f>
        <v/>
      </c>
      <c r="E198" s="51" t="str">
        <f>IF(LEFT(F198,6)="Header","",INDEX('Pricing (Drugs) SS'!$D:$D,MATCH(F198,'Pricing (Drugs) SS'!$A:$A,0)))</f>
        <v/>
      </c>
      <c r="F198" s="119" t="s">
        <v>1594</v>
      </c>
      <c r="G198" s="214" t="str">
        <f>IF(LEFT(F198,6)="Header","",INDEX('Standard Cart Pricing Formulas'!$N:$N,MATCH(F198,'Standard Cart Pricing Formulas'!$F:$F,0)))</f>
        <v/>
      </c>
      <c r="H198" s="51"/>
      <c r="I198" s="272"/>
      <c r="L198" s="16" t="str">
        <f>IF(O198="Header","",INDEX('Standard Cart Pricing Formulas'!$N:$N,MATCH(F198,'Standard Cart Pricing Formulas'!$F:$F,0)))</f>
        <v/>
      </c>
      <c r="M198" s="16" t="str">
        <f>IF(LEFT(F198,6)="Header","",INDEX('Standard Cart Pricing Formulas'!$M:$M,MATCH(F198,'Standard Cart Pricing Formulas'!$F:$F,0)))</f>
        <v/>
      </c>
      <c r="N198" s="262" cm="1">
        <f t="array" aca="1" ref="N198" ca="1">CELL("protect",A198)</f>
        <v>1</v>
      </c>
      <c r="O198" s="262" t="str">
        <f t="shared" si="8"/>
        <v>HEADER</v>
      </c>
      <c r="P198" s="262" t="str">
        <f t="shared" ca="1" si="7"/>
        <v>Good</v>
      </c>
      <c r="Q198" s="262" t="str">
        <f>IF(O198="header","",INDEX('Standard Cart Pricing Formulas'!$O:$O,MATCH(F198,'Standard Cart Pricing Formulas'!$F:$F,0)))</f>
        <v/>
      </c>
    </row>
    <row r="199" spans="1:17" ht="15.75" x14ac:dyDescent="0.25">
      <c r="A199" s="48"/>
      <c r="B199" s="49" t="str">
        <f>INDEX('Pricing (Drugs) SS'!$B:$B,MATCH(F199,'Pricing (Drugs) SS'!$A:$A,0))</f>
        <v>VERAPAMIL HCI INJECTION USP, 5mg PER 2mL (2.5mg/mL) 2mL VIAL</v>
      </c>
      <c r="C199" s="50" t="str">
        <f>IF(LEFT(F199,6)="Header","",INDEX('Pricing (Drugs) SS'!$E:$E,MATCH(F199,'Pricing (Drugs) SS'!$A:$A,0)))</f>
        <v>2.5mg/mL</v>
      </c>
      <c r="D199" s="49" t="str">
        <f>IF(LEFT(F199,6)="Header","",INDEX('Pricing (Drugs) SS'!$F:$F,MATCH(F199,'Pricing (Drugs) SS'!$A:$A,0)))</f>
        <v>2mL</v>
      </c>
      <c r="E199" s="51" t="str">
        <f>IF(LEFT(F199,6)="Header","",INDEX('Pricing (Drugs) SS'!$D:$D,MATCH(F199,'Pricing (Drugs) SS'!$A:$A,0)))</f>
        <v>55150-342-25</v>
      </c>
      <c r="F199" s="119">
        <v>1016240</v>
      </c>
      <c r="G199" s="214" t="str">
        <f>IF(LEFT(F199,6)="Header","",INDEX('Standard Cart Pricing Formulas'!$N:$N,MATCH(F199,'Standard Cart Pricing Formulas'!$F:$F,0)))</f>
        <v/>
      </c>
      <c r="H199" s="269"/>
      <c r="I199" s="270"/>
      <c r="L199" s="16" t="str">
        <f>IF(O199="Header","",INDEX('Standard Cart Pricing Formulas'!$N:$N,MATCH(F199,'Standard Cart Pricing Formulas'!$F:$F,0)))</f>
        <v/>
      </c>
      <c r="M199" s="16" t="str">
        <f>IF(LEFT(F199,6)="Header","",INDEX('Standard Cart Pricing Formulas'!$M:$M,MATCH(F199,'Standard Cart Pricing Formulas'!$F:$F,0)))</f>
        <v/>
      </c>
      <c r="N199" s="262" cm="1">
        <f t="array" aca="1" ref="N199" ca="1">CELL("protect",A199)</f>
        <v>0</v>
      </c>
      <c r="O199" s="262" t="str">
        <f t="shared" si="8"/>
        <v>101624</v>
      </c>
      <c r="P199" s="262" t="str">
        <f t="shared" ca="1" si="7"/>
        <v>Good</v>
      </c>
      <c r="Q199" s="262" t="str">
        <f>IF(O199="header","",INDEX('Standard Cart Pricing Formulas'!$O:$O,MATCH(F199,'Standard Cart Pricing Formulas'!$F:$F,0)))</f>
        <v/>
      </c>
    </row>
    <row r="200" spans="1:17" ht="15.75" x14ac:dyDescent="0.25">
      <c r="A200" s="48"/>
      <c r="B200" s="49" t="str">
        <f>INDEX('Pricing (Drugs) SS'!$B:$B,MATCH(F200,'Pricing (Drugs) SS'!$A:$A,0))</f>
        <v>VERAPAMIL HCI INJECTION, USP 10mg PER 4mL (2.5mg/mL) 4mL VIAL</v>
      </c>
      <c r="C200" s="50" t="str">
        <f>IF(LEFT(F200,6)="Header","",INDEX('Pricing (Drugs) SS'!$E:$E,MATCH(F200,'Pricing (Drugs) SS'!$A:$A,0)))</f>
        <v>2.5mg/mL</v>
      </c>
      <c r="D200" s="49" t="str">
        <f>IF(LEFT(F200,6)="Header","",INDEX('Pricing (Drugs) SS'!$F:$F,MATCH(F200,'Pricing (Drugs) SS'!$A:$A,0)))</f>
        <v>4mL</v>
      </c>
      <c r="E200" s="51" t="str">
        <f>IF(LEFT(F200,6)="Header","",INDEX('Pricing (Drugs) SS'!$D:$D,MATCH(F200,'Pricing (Drugs) SS'!$A:$A,0)))</f>
        <v>55150-343-05</v>
      </c>
      <c r="F200" s="119">
        <v>1016230</v>
      </c>
      <c r="G200" s="214" t="str">
        <f>IF(LEFT(F200,6)="Header","",INDEX('Standard Cart Pricing Formulas'!$N:$N,MATCH(F200,'Standard Cart Pricing Formulas'!$F:$F,0)))</f>
        <v/>
      </c>
      <c r="H200" s="269"/>
      <c r="I200" s="270"/>
      <c r="L200" s="16" t="str">
        <f>IF(O200="Header","",INDEX('Standard Cart Pricing Formulas'!$N:$N,MATCH(F200,'Standard Cart Pricing Formulas'!$F:$F,0)))</f>
        <v/>
      </c>
      <c r="M200" s="16" t="str">
        <f>IF(LEFT(F200,6)="Header","",INDEX('Standard Cart Pricing Formulas'!$M:$M,MATCH(F200,'Standard Cart Pricing Formulas'!$F:$F,0)))</f>
        <v/>
      </c>
      <c r="N200" s="262" cm="1">
        <f t="array" aca="1" ref="N200" ca="1">CELL("protect",A200)</f>
        <v>0</v>
      </c>
      <c r="O200" s="262" t="str">
        <f t="shared" si="8"/>
        <v>101623</v>
      </c>
      <c r="P200" s="262" t="str">
        <f t="shared" ca="1" si="7"/>
        <v>Good</v>
      </c>
      <c r="Q200" s="262" t="str">
        <f>IF(O200="header","",INDEX('Standard Cart Pricing Formulas'!$O:$O,MATCH(F200,'Standard Cart Pricing Formulas'!$F:$F,0)))</f>
        <v/>
      </c>
    </row>
    <row r="201" spans="1:17" ht="15.75" x14ac:dyDescent="0.25">
      <c r="A201" s="48"/>
      <c r="B201" s="49" t="str">
        <f>INDEX('Pricing (Drugs) SS'!$B:$B,MATCH(F201,'Pricing (Drugs) SS'!$A:$A,0))</f>
        <v>VERAPAMIL HYDROCHLORIDE INJECTION, USP 10mg (2.5 mg/mL) 4mL ANSYR SYR</v>
      </c>
      <c r="C201" s="50" t="str">
        <f>IF(LEFT(F201,6)="Header","",INDEX('Pricing (Drugs) SS'!$E:$E,MATCH(F201,'Pricing (Drugs) SS'!$A:$A,0)))</f>
        <v>10mg (2.5 mg/mL)</v>
      </c>
      <c r="D201" s="49" t="str">
        <f>IF(LEFT(F201,6)="Header","",INDEX('Pricing (Drugs) SS'!$F:$F,MATCH(F201,'Pricing (Drugs) SS'!$A:$A,0)))</f>
        <v>4mL</v>
      </c>
      <c r="E201" s="51" t="str">
        <f>IF(LEFT(F201,6)="Header","",INDEX('Pricing (Drugs) SS'!$D:$D,MATCH(F201,'Pricing (Drugs) SS'!$A:$A,0)))</f>
        <v>0409-9633-05</v>
      </c>
      <c r="F201" s="119">
        <v>1000720</v>
      </c>
      <c r="G201" s="214" t="str">
        <f>IF(LEFT(F201,6)="Header","",INDEX('Standard Cart Pricing Formulas'!$N:$N,MATCH(F201,'Standard Cart Pricing Formulas'!$F:$F,0)))</f>
        <v/>
      </c>
      <c r="H201" s="269"/>
      <c r="I201" s="270"/>
      <c r="L201" s="16" t="str">
        <f>IF(O201="Header","",INDEX('Standard Cart Pricing Formulas'!$N:$N,MATCH(F201,'Standard Cart Pricing Formulas'!$F:$F,0)))</f>
        <v/>
      </c>
      <c r="M201" s="16" t="str">
        <f>IF(LEFT(F201,6)="Header","",INDEX('Standard Cart Pricing Formulas'!$M:$M,MATCH(F201,'Standard Cart Pricing Formulas'!$F:$F,0)))</f>
        <v/>
      </c>
      <c r="N201" s="262" cm="1">
        <f t="array" aca="1" ref="N201" ca="1">CELL("protect",A201)</f>
        <v>0</v>
      </c>
      <c r="O201" s="262" t="str">
        <f t="shared" si="8"/>
        <v>100072</v>
      </c>
      <c r="P201" s="262" t="str">
        <f t="shared" ca="1" si="7"/>
        <v>Good</v>
      </c>
      <c r="Q201" s="262" t="str">
        <f>IF(O201="header","",INDEX('Standard Cart Pricing Formulas'!$O:$O,MATCH(F201,'Standard Cart Pricing Formulas'!$F:$F,0)))</f>
        <v/>
      </c>
    </row>
    <row r="202" spans="1:17" ht="15.75" x14ac:dyDescent="0.25">
      <c r="A202" s="118"/>
      <c r="B202" s="49" t="str">
        <f>INDEX('Pricing (Drugs) SS'!$B:$B,MATCH(F202,'Pricing (Drugs) SS'!$A:$A,0))</f>
        <v>WATER/STERILE/BACTERIOSTATIC</v>
      </c>
      <c r="C202" s="50" t="str">
        <f>IF(LEFT(F202,6)="Header","",INDEX('Pricing (Drugs) SS'!$E:$E,MATCH(F202,'Pricing (Drugs) SS'!$A:$A,0)))</f>
        <v/>
      </c>
      <c r="D202" s="49" t="str">
        <f>IF(LEFT(F202,6)="Header","",INDEX('Pricing (Drugs) SS'!$F:$F,MATCH(F202,'Pricing (Drugs) SS'!$A:$A,0)))</f>
        <v/>
      </c>
      <c r="E202" s="51" t="str">
        <f>IF(LEFT(F202,6)="Header","",INDEX('Pricing (Drugs) SS'!$D:$D,MATCH(F202,'Pricing (Drugs) SS'!$A:$A,0)))</f>
        <v/>
      </c>
      <c r="F202" s="119" t="s">
        <v>1595</v>
      </c>
      <c r="G202" s="214" t="str">
        <f>IF(LEFT(F202,6)="Header","",INDEX('Standard Cart Pricing Formulas'!$N:$N,MATCH(F202,'Standard Cart Pricing Formulas'!$F:$F,0)))</f>
        <v/>
      </c>
      <c r="H202" s="51"/>
      <c r="I202" s="272"/>
      <c r="L202" s="16" t="str">
        <f>IF(O202="Header","",INDEX('Standard Cart Pricing Formulas'!$N:$N,MATCH(F202,'Standard Cart Pricing Formulas'!$F:$F,0)))</f>
        <v/>
      </c>
      <c r="M202" s="16" t="str">
        <f>IF(LEFT(F202,6)="Header","",INDEX('Standard Cart Pricing Formulas'!$M:$M,MATCH(F202,'Standard Cart Pricing Formulas'!$F:$F,0)))</f>
        <v/>
      </c>
      <c r="N202" s="262" cm="1">
        <f t="array" aca="1" ref="N202" ca="1">CELL("protect",A202)</f>
        <v>1</v>
      </c>
      <c r="O202" s="262" t="str">
        <f t="shared" si="8"/>
        <v>HEADER</v>
      </c>
      <c r="P202" s="262" t="str">
        <f t="shared" ca="1" si="7"/>
        <v>Good</v>
      </c>
      <c r="Q202" s="262" t="str">
        <f>IF(O202="header","",INDEX('Standard Cart Pricing Formulas'!$O:$O,MATCH(F202,'Standard Cart Pricing Formulas'!$F:$F,0)))</f>
        <v/>
      </c>
    </row>
    <row r="203" spans="1:17" ht="15.75" x14ac:dyDescent="0.25">
      <c r="A203" s="48"/>
      <c r="B203" s="49" t="str">
        <f>INDEX('Pricing (Drugs) SS'!$B:$B,MATCH(F203,'Pricing (Drugs) SS'!$A:$A,0))</f>
        <v>STERILE WATER FOR INJECTION, USP 20mL VIAL</v>
      </c>
      <c r="C203" s="50">
        <f>IF(LEFT(F203,6)="Header","",INDEX('Pricing (Drugs) SS'!$E:$E,MATCH(F203,'Pricing (Drugs) SS'!$A:$A,0)))</f>
        <v>0</v>
      </c>
      <c r="D203" s="49" t="str">
        <f>IF(LEFT(F203,6)="Header","",INDEX('Pricing (Drugs) SS'!$F:$F,MATCH(F203,'Pricing (Drugs) SS'!$A:$A,0)))</f>
        <v>20mL</v>
      </c>
      <c r="E203" s="51" t="str">
        <f>IF(LEFT(F203,6)="Header","",INDEX('Pricing (Drugs) SS'!$D:$D,MATCH(F203,'Pricing (Drugs) SS'!$A:$A,0)))</f>
        <v>0409-4887-20</v>
      </c>
      <c r="F203" s="119">
        <v>1012940</v>
      </c>
      <c r="G203" s="214" t="str">
        <f>IF(LEFT(F203,6)="Header","",INDEX('Standard Cart Pricing Formulas'!$N:$N,MATCH(F203,'Standard Cart Pricing Formulas'!$F:$F,0)))</f>
        <v/>
      </c>
      <c r="H203" s="269"/>
      <c r="I203" s="270"/>
      <c r="L203" s="16" t="str">
        <f>IF(O203="Header","",INDEX('Standard Cart Pricing Formulas'!$N:$N,MATCH(F203,'Standard Cart Pricing Formulas'!$F:$F,0)))</f>
        <v/>
      </c>
      <c r="M203" s="16" t="str">
        <f>IF(LEFT(F203,6)="Header","",INDEX('Standard Cart Pricing Formulas'!$M:$M,MATCH(F203,'Standard Cart Pricing Formulas'!$F:$F,0)))</f>
        <v/>
      </c>
      <c r="N203" s="262" cm="1">
        <f t="array" aca="1" ref="N203" ca="1">CELL("protect",A203)</f>
        <v>0</v>
      </c>
      <c r="O203" s="262" t="str">
        <f t="shared" si="8"/>
        <v>101294</v>
      </c>
      <c r="P203" s="262" t="str">
        <f t="shared" ca="1" si="7"/>
        <v>Good</v>
      </c>
      <c r="Q203" s="262" t="str">
        <f>IF(O203="header","",INDEX('Standard Cart Pricing Formulas'!$O:$O,MATCH(F203,'Standard Cart Pricing Formulas'!$F:$F,0)))</f>
        <v/>
      </c>
    </row>
    <row r="204" spans="1:17" ht="15.75" x14ac:dyDescent="0.25">
      <c r="A204" s="48"/>
      <c r="B204" s="49" t="str">
        <f>INDEX('Pricing (Drugs) SS'!$B:$B,MATCH(F204,'Pricing (Drugs) SS'!$A:$A,0))</f>
        <v>STERILE WATER FOR INJECTION, USP 50mL VIAL</v>
      </c>
      <c r="C204" s="50">
        <f>IF(LEFT(F204,6)="Header","",INDEX('Pricing (Drugs) SS'!$E:$E,MATCH(F204,'Pricing (Drugs) SS'!$A:$A,0)))</f>
        <v>0</v>
      </c>
      <c r="D204" s="49" t="str">
        <f>IF(LEFT(F204,6)="Header","",INDEX('Pricing (Drugs) SS'!$F:$F,MATCH(F204,'Pricing (Drugs) SS'!$A:$A,0)))</f>
        <v>50mL</v>
      </c>
      <c r="E204" s="51" t="str">
        <f>IF(LEFT(F204,6)="Header","",INDEX('Pricing (Drugs) SS'!$D:$D,MATCH(F204,'Pricing (Drugs) SS'!$A:$A,0)))</f>
        <v>0409-4887-50</v>
      </c>
      <c r="F204" s="119">
        <v>1000680</v>
      </c>
      <c r="G204" s="214" t="str">
        <f>IF(LEFT(F204,6)="Header","",INDEX('Standard Cart Pricing Formulas'!$N:$N,MATCH(F204,'Standard Cart Pricing Formulas'!$F:$F,0)))</f>
        <v/>
      </c>
      <c r="H204" s="269"/>
      <c r="I204" s="270"/>
      <c r="L204" s="16" t="str">
        <f>IF(O204="Header","",INDEX('Standard Cart Pricing Formulas'!$N:$N,MATCH(F204,'Standard Cart Pricing Formulas'!$F:$F,0)))</f>
        <v/>
      </c>
      <c r="M204" s="16" t="str">
        <f>IF(LEFT(F204,6)="Header","",INDEX('Standard Cart Pricing Formulas'!$M:$M,MATCH(F204,'Standard Cart Pricing Formulas'!$F:$F,0)))</f>
        <v/>
      </c>
      <c r="N204" s="262" cm="1">
        <f t="array" aca="1" ref="N204" ca="1">CELL("protect",A204)</f>
        <v>0</v>
      </c>
      <c r="O204" s="262" t="str">
        <f t="shared" ref="O204" si="9">LEFT(F204,6)</f>
        <v>100068</v>
      </c>
      <c r="P204" s="262" t="str">
        <f t="shared" ca="1" si="7"/>
        <v>Good</v>
      </c>
      <c r="Q204" s="262" t="str">
        <f>IF(O204="header","",INDEX('Standard Cart Pricing Formulas'!$O:$O,MATCH(F204,'Standard Cart Pricing Formulas'!$F:$F,0)))</f>
        <v/>
      </c>
    </row>
    <row r="205" spans="1:17" ht="15.75" x14ac:dyDescent="0.25">
      <c r="A205" s="48"/>
      <c r="B205" s="49" t="str">
        <f>INDEX('Pricing (Drugs) SS'!$B:$B,MATCH(F205,'Pricing (Drugs) SS'!$A:$A,0))</f>
        <v>STERILE WATER FOR INJECTION, USP 100mL VIAL</v>
      </c>
      <c r="C205" s="50">
        <f>IF(LEFT(F205,6)="Header","",INDEX('Pricing (Drugs) SS'!$E:$E,MATCH(F205,'Pricing (Drugs) SS'!$A:$A,0)))</f>
        <v>0</v>
      </c>
      <c r="D205" s="49" t="str">
        <f>IF(LEFT(F205,6)="Header","",INDEX('Pricing (Drugs) SS'!$F:$F,MATCH(F205,'Pricing (Drugs) SS'!$A:$A,0)))</f>
        <v>100mL</v>
      </c>
      <c r="E205" s="51" t="str">
        <f>IF(LEFT(F205,6)="Header","",INDEX('Pricing (Drugs) SS'!$D:$D,MATCH(F205,'Pricing (Drugs) SS'!$A:$A,0)))</f>
        <v>0409-4887-99</v>
      </c>
      <c r="F205" s="119">
        <v>1000690</v>
      </c>
      <c r="G205" s="214" t="str">
        <f>IF(LEFT(F205,6)="Header","",INDEX('Standard Cart Pricing Formulas'!$N:$N,MATCH(F205,'Standard Cart Pricing Formulas'!$F:$F,0)))</f>
        <v/>
      </c>
      <c r="H205" s="269"/>
      <c r="I205" s="270"/>
      <c r="L205" s="16" t="str">
        <f>IF(O205="Header","",INDEX('Standard Cart Pricing Formulas'!$N:$N,MATCH(F205,'Standard Cart Pricing Formulas'!$F:$F,0)))</f>
        <v/>
      </c>
      <c r="M205" s="16" t="str">
        <f>IF(LEFT(F205,6)="Header","",INDEX('Standard Cart Pricing Formulas'!$M:$M,MATCH(F205,'Standard Cart Pricing Formulas'!$F:$F,0)))</f>
        <v/>
      </c>
      <c r="N205" s="262" cm="1">
        <f t="array" aca="1" ref="N205" ca="1">CELL("protect",A205)</f>
        <v>0</v>
      </c>
      <c r="O205" s="262" t="str">
        <f t="shared" ref="O205" si="10">LEFT(F205,6)</f>
        <v>100069</v>
      </c>
      <c r="P205" s="262" t="str">
        <f t="shared" ref="P205" ca="1" si="11">IF(AND(N205=1,O205="header"),"Good",IF(AND(O205&lt;&gt;"Header",N205=0),"Good","Bad"))</f>
        <v>Good</v>
      </c>
      <c r="Q205" s="262" t="str">
        <f>IF(O205="header","",INDEX('Standard Cart Pricing Formulas'!$O:$O,MATCH(F205,'Standard Cart Pricing Formulas'!$F:$F,0)))</f>
        <v/>
      </c>
    </row>
  </sheetData>
  <sheetProtection algorithmName="SHA-512" hashValue="CGvCX44sQY7nAhYp+pupIVBu6ncb1/X8edygUcDrWWrxvXNXfFGqzEeYKDEvezxg/t/lL9we+TTCa2ghOTCkBA==" saltValue="A8bQrAnhQBWlo3ax5/iIfw==" spinCount="100000" sheet="1" autoFilter="0"/>
  <autoFilter ref="A11:I205" xr:uid="{57A30A0B-58F3-4BD8-A9EF-8755044CC6BC}"/>
  <sortState xmlns:xlrd2="http://schemas.microsoft.com/office/spreadsheetml/2017/richdata2" ref="B12:F157">
    <sortCondition ref="B7:B157"/>
  </sortState>
  <mergeCells count="7">
    <mergeCell ref="A1:F1"/>
    <mergeCell ref="H4:L4"/>
    <mergeCell ref="H5:L5"/>
    <mergeCell ref="A5:F5"/>
    <mergeCell ref="A10:F10"/>
    <mergeCell ref="A2:F2"/>
    <mergeCell ref="A3:F3"/>
  </mergeCells>
  <conditionalFormatting sqref="A12:I4960">
    <cfRule type="expression" dxfId="9" priority="3">
      <formula>LEFT($F12,6)="Header"</formula>
    </cfRule>
  </conditionalFormatting>
  <conditionalFormatting sqref="B12:F218">
    <cfRule type="expression" dxfId="8" priority="350">
      <formula>$M12="C"</formula>
    </cfRule>
  </conditionalFormatting>
  <conditionalFormatting sqref="B12:F468">
    <cfRule type="expression" dxfId="7" priority="27" stopIfTrue="1">
      <formula>$Q12="X"</formula>
    </cfRule>
  </conditionalFormatting>
  <conditionalFormatting sqref="F12:F4960">
    <cfRule type="containsText" dxfId="6" priority="2" operator="containsText" text="Header">
      <formula>NOT(ISERROR(SEARCH("Header",F12)))</formula>
    </cfRule>
  </conditionalFormatting>
  <conditionalFormatting sqref="F12:F4962">
    <cfRule type="expression" dxfId="5" priority="1">
      <formula>$P12="Bad"</formula>
    </cfRule>
  </conditionalFormatting>
  <dataValidations count="1">
    <dataValidation type="list" allowBlank="1" showInputMessage="1" showErrorMessage="1" sqref="H12:H205" xr:uid="{A9B02595-D629-4440-AEEB-2D7EE3EC49B2}">
      <formula1>"Backordered"</formula1>
    </dataValidation>
  </dataValidations>
  <hyperlinks>
    <hyperlink ref="H5:L5" r:id="rId1" display="https://www.healthfirst.com/store/medications/" xr:uid="{A8C6BB4A-98AF-4E7C-8B1D-D22175AB5163}"/>
  </hyperlinks>
  <pageMargins left="0.7" right="0.7" top="0.75" bottom="0.75" header="0.3" footer="0.3"/>
  <pageSetup scale="39" fitToHeight="0" orientation="portrait" verticalDpi="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2E61-31EC-4555-867A-47D5BEA476F8}">
  <sheetPr codeName="Sheet4">
    <pageSetUpPr autoPageBreaks="0"/>
  </sheetPr>
  <dimension ref="A1:X179"/>
  <sheetViews>
    <sheetView showGridLines="0" topLeftCell="A22" zoomScale="110" zoomScaleNormal="110" workbookViewId="0">
      <pane ySplit="12" topLeftCell="A34" activePane="bottomLeft" state="frozen"/>
      <selection activeCell="F34" sqref="F34:F169"/>
      <selection pane="bottomLeft" activeCell="F34" sqref="F34:F169"/>
    </sheetView>
  </sheetViews>
  <sheetFormatPr defaultColWidth="8.85546875" defaultRowHeight="15" x14ac:dyDescent="0.25"/>
  <cols>
    <col min="1" max="1" width="15.140625" style="117" customWidth="1"/>
    <col min="2" max="2" width="88.5703125" style="117" bestFit="1" customWidth="1"/>
    <col min="3" max="3" width="43.5703125" style="117" customWidth="1"/>
    <col min="4" max="4" width="15.42578125" style="117" bestFit="1" customWidth="1"/>
    <col min="5" max="5" width="35.28515625" style="117" customWidth="1"/>
    <col min="6" max="6" width="18.140625" style="117" customWidth="1"/>
    <col min="7" max="7" width="15.7109375" style="230" customWidth="1"/>
    <col min="8" max="8" width="14.42578125" style="230" customWidth="1"/>
    <col min="9" max="9" width="13.28515625" style="155" customWidth="1"/>
    <col min="10" max="10" width="10.140625" style="155" bestFit="1" customWidth="1"/>
    <col min="11" max="11" width="10.42578125" style="155" bestFit="1" customWidth="1"/>
    <col min="12" max="12" width="14.7109375" style="133" bestFit="1" customWidth="1"/>
    <col min="13" max="13" width="9" style="203" bestFit="1" customWidth="1"/>
    <col min="14" max="14" width="15.28515625" style="124" bestFit="1" customWidth="1"/>
    <col min="15" max="15" width="14.5703125" style="124" customWidth="1"/>
    <col min="16" max="16" width="14.5703125" style="124" bestFit="1" customWidth="1"/>
    <col min="17" max="18" width="19.28515625" style="124" bestFit="1" customWidth="1"/>
    <col min="19" max="19" width="21.140625" style="124" bestFit="1" customWidth="1"/>
    <col min="20" max="20" width="8.85546875" style="117"/>
    <col min="21" max="21" width="10.5703125" style="117" customWidth="1"/>
    <col min="22" max="16384" width="8.85546875" style="117"/>
  </cols>
  <sheetData>
    <row r="1" spans="1:24" ht="54" customHeight="1" x14ac:dyDescent="0.25">
      <c r="A1" s="351" t="s">
        <v>13</v>
      </c>
      <c r="B1" s="352"/>
      <c r="C1" s="352"/>
      <c r="D1" s="352"/>
      <c r="E1" s="352"/>
      <c r="F1" s="352"/>
      <c r="G1" s="352"/>
      <c r="H1" s="352"/>
      <c r="I1" s="352"/>
      <c r="J1" s="352"/>
      <c r="K1" s="352"/>
      <c r="L1" s="132"/>
      <c r="M1" s="132"/>
      <c r="N1" s="117"/>
      <c r="O1" s="117"/>
    </row>
    <row r="2" spans="1:24" ht="24" customHeight="1" x14ac:dyDescent="0.35">
      <c r="A2" s="353" t="s">
        <v>40</v>
      </c>
      <c r="B2" s="354"/>
      <c r="C2" s="354"/>
      <c r="D2" s="354"/>
      <c r="E2" s="354"/>
      <c r="F2" s="354"/>
      <c r="G2" s="354"/>
      <c r="H2" s="354"/>
      <c r="I2" s="354"/>
      <c r="J2" s="354"/>
      <c r="K2" s="354"/>
      <c r="L2" s="132"/>
      <c r="M2" s="132"/>
      <c r="N2" s="117"/>
      <c r="O2" s="117"/>
    </row>
    <row r="3" spans="1:24" ht="39" customHeight="1" x14ac:dyDescent="0.25">
      <c r="A3" s="355" t="s">
        <v>14</v>
      </c>
      <c r="B3" s="356"/>
      <c r="C3" s="356"/>
      <c r="D3" s="356"/>
      <c r="E3" s="356"/>
      <c r="F3" s="356"/>
      <c r="G3" s="356"/>
      <c r="H3" s="356"/>
      <c r="I3" s="356"/>
      <c r="J3" s="356"/>
      <c r="K3" s="356"/>
      <c r="L3" s="132"/>
      <c r="M3" s="132"/>
      <c r="N3" s="117"/>
      <c r="O3" s="117"/>
    </row>
    <row r="4" spans="1:24" s="124" customFormat="1" ht="32.25" customHeight="1" x14ac:dyDescent="0.25">
      <c r="A4" s="357" t="s">
        <v>162</v>
      </c>
      <c r="B4" s="358"/>
      <c r="C4" s="358"/>
      <c r="D4" s="358"/>
      <c r="E4" s="358"/>
      <c r="F4" s="358"/>
      <c r="G4" s="358"/>
      <c r="H4" s="358"/>
      <c r="I4" s="358"/>
      <c r="J4" s="358"/>
      <c r="K4" s="358"/>
      <c r="L4" s="133"/>
      <c r="M4" s="133"/>
      <c r="N4" s="117"/>
      <c r="O4" s="117"/>
      <c r="T4" s="117"/>
      <c r="U4" s="117"/>
      <c r="V4" s="117"/>
      <c r="W4" s="117"/>
      <c r="X4" s="117"/>
    </row>
    <row r="5" spans="1:24" s="124" customFormat="1" ht="15.75" customHeight="1" x14ac:dyDescent="0.25">
      <c r="A5" s="357" t="s">
        <v>163</v>
      </c>
      <c r="B5" s="358"/>
      <c r="C5" s="358"/>
      <c r="D5" s="358"/>
      <c r="E5" s="358"/>
      <c r="F5" s="358"/>
      <c r="G5" s="358"/>
      <c r="H5" s="358"/>
      <c r="I5" s="358"/>
      <c r="J5" s="358"/>
      <c r="K5" s="358"/>
      <c r="L5" s="133"/>
      <c r="M5" s="133"/>
      <c r="N5" s="117"/>
      <c r="O5" s="117"/>
      <c r="T5" s="117"/>
      <c r="U5" s="117"/>
      <c r="V5" s="117"/>
      <c r="W5" s="117"/>
      <c r="X5" s="117"/>
    </row>
    <row r="6" spans="1:24" ht="12" customHeight="1" thickBot="1" x14ac:dyDescent="0.3">
      <c r="A6" s="367"/>
      <c r="B6" s="368"/>
      <c r="C6" s="368"/>
      <c r="D6" s="368"/>
      <c r="E6" s="368"/>
      <c r="F6" s="368"/>
      <c r="G6" s="368"/>
      <c r="H6" s="368"/>
      <c r="I6" s="368"/>
      <c r="J6" s="368"/>
      <c r="K6" s="368"/>
      <c r="L6" s="132"/>
      <c r="M6" s="132"/>
      <c r="N6" s="117"/>
      <c r="O6" s="117"/>
    </row>
    <row r="7" spans="1:24" s="141" customFormat="1" ht="20.25" customHeight="1" thickBot="1" x14ac:dyDescent="0.35">
      <c r="A7" s="134" t="s">
        <v>21</v>
      </c>
      <c r="B7" s="135"/>
      <c r="C7" s="136" t="s">
        <v>22</v>
      </c>
      <c r="D7" s="137"/>
      <c r="E7" s="137"/>
      <c r="F7" s="138"/>
      <c r="G7" s="234"/>
      <c r="H7" s="234"/>
      <c r="I7" s="139"/>
      <c r="J7" s="139"/>
      <c r="K7" s="139"/>
      <c r="L7" s="140"/>
      <c r="M7" s="140"/>
      <c r="P7" s="142"/>
      <c r="Q7" s="142"/>
      <c r="R7" s="142"/>
      <c r="S7" s="142"/>
    </row>
    <row r="8" spans="1:24" s="124" customFormat="1" ht="18" customHeight="1" x14ac:dyDescent="0.25">
      <c r="A8" s="8" t="s">
        <v>3</v>
      </c>
      <c r="B8" s="143"/>
      <c r="C8" s="144" t="s">
        <v>19</v>
      </c>
      <c r="D8" s="145"/>
      <c r="E8" s="363"/>
      <c r="F8" s="364"/>
      <c r="G8" s="235"/>
      <c r="H8" s="235"/>
      <c r="I8" s="146"/>
      <c r="J8" s="146"/>
      <c r="K8" s="146"/>
      <c r="L8" s="133"/>
      <c r="M8" s="133"/>
      <c r="N8" s="117"/>
      <c r="O8" s="117"/>
      <c r="T8" s="117"/>
      <c r="U8" s="117"/>
      <c r="V8" s="117"/>
      <c r="W8" s="117"/>
      <c r="X8" s="117"/>
    </row>
    <row r="9" spans="1:24" s="124" customFormat="1" ht="18" customHeight="1" x14ac:dyDescent="0.25">
      <c r="A9" s="5" t="s">
        <v>11</v>
      </c>
      <c r="B9" s="147"/>
      <c r="C9" s="359" t="s">
        <v>20</v>
      </c>
      <c r="D9" s="360"/>
      <c r="E9" s="365"/>
      <c r="F9" s="366"/>
      <c r="G9" s="236"/>
      <c r="H9" s="236"/>
      <c r="I9" s="148"/>
      <c r="J9" s="148"/>
      <c r="K9" s="148"/>
      <c r="L9" s="133"/>
      <c r="M9" s="133"/>
      <c r="N9" s="117"/>
      <c r="O9" s="117"/>
      <c r="T9" s="117"/>
      <c r="U9" s="117"/>
      <c r="V9" s="117"/>
      <c r="W9" s="117"/>
      <c r="X9" s="117"/>
    </row>
    <row r="10" spans="1:24" s="124" customFormat="1" ht="18" customHeight="1" x14ac:dyDescent="0.25">
      <c r="A10" s="5" t="s">
        <v>12</v>
      </c>
      <c r="B10" s="147"/>
      <c r="C10" s="359" t="s">
        <v>32</v>
      </c>
      <c r="D10" s="360"/>
      <c r="E10" s="361"/>
      <c r="F10" s="362"/>
      <c r="G10" s="235"/>
      <c r="H10" s="235"/>
      <c r="I10" s="146"/>
      <c r="J10" s="146"/>
      <c r="K10" s="146"/>
      <c r="L10" s="133"/>
      <c r="M10" s="133"/>
      <c r="N10" s="117"/>
      <c r="O10" s="117"/>
      <c r="T10" s="117"/>
      <c r="U10" s="117"/>
      <c r="V10" s="117"/>
      <c r="W10" s="117"/>
      <c r="X10" s="117"/>
    </row>
    <row r="11" spans="1:24" s="124" customFormat="1" ht="18" customHeight="1" x14ac:dyDescent="0.25">
      <c r="A11" s="5" t="s">
        <v>4</v>
      </c>
      <c r="B11" s="147"/>
      <c r="C11" s="359" t="s">
        <v>17</v>
      </c>
      <c r="D11" s="360"/>
      <c r="E11" s="361"/>
      <c r="F11" s="362"/>
      <c r="G11" s="235"/>
      <c r="H11" s="235"/>
      <c r="I11" s="146"/>
      <c r="J11" s="146"/>
      <c r="K11" s="146"/>
      <c r="L11" s="133"/>
      <c r="M11" s="133"/>
      <c r="N11" s="117"/>
      <c r="O11" s="117"/>
      <c r="T11" s="117"/>
      <c r="U11" s="117"/>
      <c r="V11" s="117"/>
      <c r="W11" s="117"/>
      <c r="X11" s="117"/>
    </row>
    <row r="12" spans="1:24" s="124" customFormat="1" ht="18" customHeight="1" x14ac:dyDescent="0.25">
      <c r="A12" s="5" t="s">
        <v>5</v>
      </c>
      <c r="B12" s="147"/>
      <c r="C12" s="37" t="s">
        <v>16</v>
      </c>
      <c r="D12" s="38"/>
      <c r="E12" s="361"/>
      <c r="F12" s="362"/>
      <c r="G12" s="235"/>
      <c r="H12" s="235"/>
      <c r="I12" s="146"/>
      <c r="J12" s="146"/>
      <c r="K12" s="146"/>
      <c r="L12" s="133"/>
      <c r="M12" s="133"/>
      <c r="N12" s="82"/>
      <c r="O12" s="149"/>
      <c r="P12" s="150"/>
      <c r="T12" s="117"/>
      <c r="U12" s="117"/>
      <c r="V12" s="117"/>
      <c r="W12" s="117"/>
      <c r="X12" s="117"/>
    </row>
    <row r="13" spans="1:24" s="124" customFormat="1" ht="18" customHeight="1" x14ac:dyDescent="0.25">
      <c r="A13" s="5" t="s">
        <v>6</v>
      </c>
      <c r="B13" s="147"/>
      <c r="C13" s="151" t="s">
        <v>29</v>
      </c>
      <c r="D13" s="152"/>
      <c r="E13" s="361"/>
      <c r="F13" s="362"/>
      <c r="G13" s="235"/>
      <c r="H13" s="235"/>
      <c r="I13" s="146"/>
      <c r="J13" s="146"/>
      <c r="K13" s="146"/>
      <c r="L13" s="133"/>
      <c r="M13" s="133"/>
      <c r="N13" s="117"/>
      <c r="O13" s="117"/>
      <c r="T13" s="117"/>
      <c r="U13" s="117"/>
      <c r="V13" s="117"/>
      <c r="W13" s="117"/>
      <c r="X13" s="117"/>
    </row>
    <row r="14" spans="1:24" s="124" customFormat="1" ht="18" customHeight="1" x14ac:dyDescent="0.25">
      <c r="A14" s="6" t="s">
        <v>9</v>
      </c>
      <c r="B14" s="147"/>
      <c r="C14" s="10" t="s">
        <v>25</v>
      </c>
      <c r="D14" s="9"/>
      <c r="E14" s="361"/>
      <c r="F14" s="362"/>
      <c r="G14" s="235"/>
      <c r="H14" s="235"/>
      <c r="I14" s="146"/>
      <c r="J14" s="146"/>
      <c r="K14" s="146"/>
      <c r="L14" s="133"/>
      <c r="M14" s="133"/>
      <c r="N14" s="117"/>
      <c r="O14" s="117"/>
      <c r="T14" s="117"/>
      <c r="U14" s="117"/>
      <c r="V14" s="117"/>
      <c r="W14" s="117"/>
      <c r="X14" s="117"/>
    </row>
    <row r="15" spans="1:24" s="124" customFormat="1" ht="18" customHeight="1" x14ac:dyDescent="0.25">
      <c r="A15" s="5" t="s">
        <v>23</v>
      </c>
      <c r="B15" s="147"/>
      <c r="C15" s="37" t="s">
        <v>24</v>
      </c>
      <c r="D15" s="38"/>
      <c r="E15" s="361"/>
      <c r="F15" s="362"/>
      <c r="G15" s="235"/>
      <c r="H15" s="235"/>
      <c r="I15" s="146"/>
      <c r="J15" s="146"/>
      <c r="K15" s="146"/>
      <c r="L15" s="133"/>
      <c r="M15" s="133"/>
      <c r="N15" s="117"/>
      <c r="O15" s="117"/>
      <c r="T15" s="117"/>
      <c r="U15" s="117"/>
      <c r="V15" s="117"/>
      <c r="W15" s="117"/>
      <c r="X15" s="117"/>
    </row>
    <row r="16" spans="1:24" s="124" customFormat="1" ht="18" customHeight="1" x14ac:dyDescent="0.25">
      <c r="A16" s="4" t="s">
        <v>33</v>
      </c>
      <c r="B16" s="153"/>
      <c r="C16" s="359"/>
      <c r="D16" s="360"/>
      <c r="E16" s="361"/>
      <c r="F16" s="362"/>
      <c r="G16" s="235"/>
      <c r="H16" s="235"/>
      <c r="I16" s="146"/>
      <c r="J16" s="146"/>
      <c r="K16" s="146"/>
      <c r="L16" s="133"/>
      <c r="M16" s="133"/>
      <c r="N16" s="117"/>
      <c r="O16" s="117"/>
      <c r="T16" s="117"/>
      <c r="U16" s="117"/>
      <c r="V16" s="117"/>
      <c r="W16" s="117"/>
      <c r="X16" s="117"/>
    </row>
    <row r="17" spans="1:24" s="124" customFormat="1" ht="18" customHeight="1" x14ac:dyDescent="0.25">
      <c r="A17" s="154" t="s">
        <v>18</v>
      </c>
      <c r="B17" s="147"/>
      <c r="C17" s="372"/>
      <c r="D17" s="373"/>
      <c r="E17" s="374"/>
      <c r="F17" s="366"/>
      <c r="G17" s="236"/>
      <c r="H17" s="236"/>
      <c r="I17" s="148"/>
      <c r="J17" s="148"/>
      <c r="K17" s="148"/>
      <c r="L17" s="133"/>
      <c r="M17" s="133"/>
      <c r="N17" s="117"/>
      <c r="O17" s="117"/>
      <c r="T17" s="117"/>
      <c r="U17" s="117"/>
      <c r="V17" s="117"/>
      <c r="W17" s="117"/>
      <c r="X17" s="117"/>
    </row>
    <row r="18" spans="1:24" s="124" customFormat="1" ht="18" customHeight="1" x14ac:dyDescent="0.25">
      <c r="A18" s="7" t="s">
        <v>34</v>
      </c>
      <c r="B18" s="147"/>
      <c r="C18" s="372"/>
      <c r="D18" s="373"/>
      <c r="E18" s="375"/>
      <c r="F18" s="375"/>
      <c r="G18" s="236"/>
      <c r="H18" s="236"/>
      <c r="I18" s="148"/>
      <c r="J18" s="148"/>
      <c r="K18" s="148"/>
      <c r="L18" s="133"/>
      <c r="M18" s="133"/>
      <c r="N18" s="117"/>
      <c r="O18" s="117"/>
      <c r="T18" s="117"/>
      <c r="U18" s="117"/>
      <c r="V18" s="117"/>
      <c r="W18" s="117"/>
      <c r="X18" s="117"/>
    </row>
    <row r="19" spans="1:24" s="124" customFormat="1" ht="18" customHeight="1" x14ac:dyDescent="0.25">
      <c r="A19" s="7" t="s">
        <v>15</v>
      </c>
      <c r="B19" s="147"/>
      <c r="C19" s="376"/>
      <c r="D19" s="377"/>
      <c r="E19" s="375"/>
      <c r="F19" s="375"/>
      <c r="G19" s="236"/>
      <c r="H19" s="236"/>
      <c r="I19" s="148"/>
      <c r="J19" s="148"/>
      <c r="K19" s="148"/>
      <c r="L19" s="133"/>
      <c r="M19" s="133"/>
      <c r="N19" s="117"/>
      <c r="O19" s="117"/>
      <c r="T19" s="117"/>
      <c r="U19" s="117"/>
      <c r="V19" s="117"/>
      <c r="W19" s="117"/>
      <c r="X19" s="117"/>
    </row>
    <row r="20" spans="1:24" s="124" customFormat="1" ht="18" customHeight="1" x14ac:dyDescent="0.25">
      <c r="A20" s="7" t="s">
        <v>30</v>
      </c>
      <c r="B20" s="147"/>
      <c r="C20" s="376"/>
      <c r="D20" s="377"/>
      <c r="E20" s="375"/>
      <c r="F20" s="375"/>
      <c r="G20" s="236"/>
      <c r="H20" s="236"/>
      <c r="I20" s="148"/>
      <c r="J20" s="148"/>
      <c r="K20" s="148"/>
      <c r="L20" s="133"/>
      <c r="M20" s="133"/>
      <c r="N20" s="117"/>
      <c r="O20" s="117"/>
      <c r="T20" s="117"/>
      <c r="U20" s="117"/>
      <c r="V20" s="117"/>
      <c r="W20" s="117"/>
      <c r="X20" s="117"/>
    </row>
    <row r="21" spans="1:24" s="124" customFormat="1" ht="18" customHeight="1" thickBot="1" x14ac:dyDescent="0.3">
      <c r="A21" s="7" t="s">
        <v>31</v>
      </c>
      <c r="B21" s="147"/>
      <c r="C21" s="376"/>
      <c r="D21" s="377"/>
      <c r="E21" s="375"/>
      <c r="F21" s="375"/>
      <c r="G21" s="236"/>
      <c r="H21" s="236"/>
      <c r="I21" s="148"/>
      <c r="J21" s="148"/>
      <c r="K21" s="148"/>
      <c r="L21" s="133"/>
      <c r="M21" s="133"/>
      <c r="N21" s="117"/>
      <c r="O21" s="117"/>
      <c r="T21" s="117"/>
      <c r="U21" s="117"/>
      <c r="V21" s="117"/>
      <c r="W21" s="117"/>
      <c r="X21" s="117"/>
    </row>
    <row r="22" spans="1:24" ht="34.5" thickBot="1" x14ac:dyDescent="0.55000000000000004">
      <c r="A22" s="381" t="s">
        <v>43</v>
      </c>
      <c r="B22" s="382"/>
      <c r="C22" s="382"/>
      <c r="D22" s="382"/>
      <c r="E22" s="382"/>
      <c r="F22" s="383"/>
      <c r="J22" s="156" t="s">
        <v>118</v>
      </c>
      <c r="K22" s="157">
        <v>120</v>
      </c>
      <c r="L22" s="158" t="s">
        <v>135</v>
      </c>
      <c r="M22" s="159" t="str">
        <f>IF(AND('Quote and Pricing Summary'!$E$21&lt;&gt;"Required Field",'Quote and Pricing Summary'!$E$21&lt;&gt;""),'Quote and Pricing Summary'!$E$21,IF(AND('Henry Schein Quote &amp; Pricing'!$E$21&lt;&gt;"Required Field",'Henry Schein Quote &amp; Pricing'!$E$21&lt;&gt;""),'Henry Schein Quote &amp; Pricing'!$E$21,"Pending"))</f>
        <v>Pending</v>
      </c>
      <c r="N22" s="117"/>
      <c r="O22" s="117"/>
    </row>
    <row r="23" spans="1:24" ht="37.5" customHeight="1" thickBot="1" x14ac:dyDescent="0.3">
      <c r="A23" s="384" t="s">
        <v>89</v>
      </c>
      <c r="B23" s="385"/>
      <c r="C23" s="385"/>
      <c r="D23" s="385"/>
      <c r="E23" s="385"/>
      <c r="F23" s="386"/>
      <c r="J23" s="122" t="s">
        <v>119</v>
      </c>
      <c r="K23" s="160">
        <f>IF(OR('Henry Schein Quote &amp; Pricing'!E18="Yes",'Quote and Pricing Summary'!E18="Yes"),0.62,0.81)</f>
        <v>0.81</v>
      </c>
      <c r="L23" s="344" t="str">
        <f>IF(IFERROR(INDEX('Version and Lists'!$F:$F,MATCH(M22,'Version and Lists'!$G:$G,0)),0)&gt;0,"Extra DEA Req","")</f>
        <v/>
      </c>
      <c r="M23" s="345"/>
      <c r="N23" s="117"/>
      <c r="O23" s="117"/>
    </row>
    <row r="24" spans="1:24" ht="33.75" customHeight="1" thickBot="1" x14ac:dyDescent="0.35">
      <c r="A24" s="378" t="s">
        <v>44</v>
      </c>
      <c r="B24" s="379"/>
      <c r="C24" s="379"/>
      <c r="D24" s="379"/>
      <c r="E24" s="406"/>
      <c r="F24" s="407"/>
      <c r="J24" s="161" t="s">
        <v>148</v>
      </c>
      <c r="K24" s="162">
        <f>(SUM(L29:L440)+K22)*K23</f>
        <v>97.2</v>
      </c>
      <c r="L24" s="155"/>
      <c r="M24" s="116"/>
      <c r="N24" s="117"/>
      <c r="O24" s="117"/>
    </row>
    <row r="25" spans="1:24" ht="57" customHeight="1" thickBot="1" x14ac:dyDescent="0.3">
      <c r="A25" s="408" t="s">
        <v>42</v>
      </c>
      <c r="B25" s="409"/>
      <c r="C25" s="409"/>
      <c r="D25" s="410"/>
      <c r="E25" s="121" t="s">
        <v>38</v>
      </c>
      <c r="F25" s="163" t="str">
        <f>IF(K24&lt;500,"Does not meet $500 minimum",K24)</f>
        <v>Does not meet $500 minimum</v>
      </c>
      <c r="G25" s="237" t="s">
        <v>159</v>
      </c>
      <c r="H25" s="238">
        <f>SUM(H34:H468)</f>
        <v>0</v>
      </c>
      <c r="I25" s="117"/>
      <c r="J25" s="243" t="s">
        <v>160</v>
      </c>
      <c r="K25" s="244">
        <f>K24-H25</f>
        <v>97.2</v>
      </c>
      <c r="L25" s="117"/>
      <c r="M25" s="117"/>
      <c r="N25" s="117"/>
      <c r="O25" s="117"/>
    </row>
    <row r="26" spans="1:24" ht="20.25" customHeight="1" thickBot="1" x14ac:dyDescent="0.3">
      <c r="A26" s="349" t="s">
        <v>87</v>
      </c>
      <c r="B26" s="350"/>
      <c r="C26" s="350"/>
      <c r="D26" s="350"/>
      <c r="E26" s="350"/>
      <c r="F26" s="350"/>
      <c r="G26" s="239"/>
      <c r="H26" s="239"/>
      <c r="I26" s="117"/>
      <c r="J26" s="243" t="s">
        <v>161</v>
      </c>
      <c r="K26" s="245">
        <f>K25/K24</f>
        <v>1</v>
      </c>
      <c r="L26" s="117"/>
      <c r="M26" s="117"/>
      <c r="N26" s="117"/>
      <c r="O26" s="117"/>
    </row>
    <row r="27" spans="1:24" ht="20.25" customHeight="1" thickBot="1" x14ac:dyDescent="0.3">
      <c r="A27" s="164" t="s">
        <v>7</v>
      </c>
      <c r="B27" s="165" t="s">
        <v>0</v>
      </c>
      <c r="C27" s="165" t="s">
        <v>1</v>
      </c>
      <c r="D27" s="165" t="s">
        <v>2</v>
      </c>
      <c r="E27" s="166" t="s">
        <v>8</v>
      </c>
      <c r="F27" s="167" t="s">
        <v>28</v>
      </c>
      <c r="G27" s="240"/>
      <c r="H27" s="240"/>
      <c r="I27" s="117"/>
      <c r="J27" s="117"/>
      <c r="K27" s="117"/>
      <c r="L27" s="117"/>
      <c r="M27" s="117"/>
      <c r="N27" s="117"/>
      <c r="O27" s="117"/>
    </row>
    <row r="28" spans="1:24" ht="15" customHeight="1" x14ac:dyDescent="0.25">
      <c r="A28" s="168">
        <v>1</v>
      </c>
      <c r="B28" s="169" t="s">
        <v>95</v>
      </c>
      <c r="C28" s="170"/>
      <c r="D28" s="169"/>
      <c r="E28" s="171"/>
      <c r="F28" s="172">
        <v>1024730</v>
      </c>
      <c r="G28" s="240"/>
      <c r="H28" s="240"/>
      <c r="I28" s="117"/>
      <c r="J28" s="117"/>
      <c r="K28" s="117"/>
      <c r="L28" s="117"/>
      <c r="M28" s="117"/>
      <c r="N28" s="117"/>
      <c r="O28" s="117"/>
    </row>
    <row r="29" spans="1:24" ht="15" customHeight="1" x14ac:dyDescent="0.25">
      <c r="A29" s="168">
        <v>1</v>
      </c>
      <c r="B29" s="169" t="s">
        <v>10</v>
      </c>
      <c r="C29" s="170" t="s">
        <v>36</v>
      </c>
      <c r="D29" s="169"/>
      <c r="E29" s="171"/>
      <c r="F29" s="172">
        <v>1009251</v>
      </c>
      <c r="G29" s="240"/>
      <c r="H29" s="240"/>
      <c r="I29" s="117"/>
      <c r="J29" s="117"/>
      <c r="K29" s="117"/>
      <c r="L29" s="117"/>
      <c r="M29" s="117"/>
      <c r="N29" s="117"/>
      <c r="O29" s="117"/>
    </row>
    <row r="30" spans="1:24" ht="15" customHeight="1" x14ac:dyDescent="0.25">
      <c r="A30" s="173">
        <v>1</v>
      </c>
      <c r="B30" s="174" t="s">
        <v>39</v>
      </c>
      <c r="C30" s="175" t="s">
        <v>36</v>
      </c>
      <c r="D30" s="174"/>
      <c r="E30" s="176"/>
      <c r="F30" s="172"/>
      <c r="G30" s="240"/>
      <c r="H30" s="240"/>
      <c r="I30" s="117"/>
      <c r="J30" s="117"/>
      <c r="K30" s="117"/>
      <c r="L30" s="117"/>
      <c r="M30" s="117"/>
      <c r="N30" s="117"/>
      <c r="O30" s="117"/>
    </row>
    <row r="31" spans="1:24" ht="15" customHeight="1" x14ac:dyDescent="0.25">
      <c r="A31" s="173">
        <v>1</v>
      </c>
      <c r="B31" s="174" t="s">
        <v>37</v>
      </c>
      <c r="C31" s="175" t="s">
        <v>36</v>
      </c>
      <c r="D31" s="174"/>
      <c r="E31" s="176"/>
      <c r="F31" s="172">
        <v>1016020</v>
      </c>
      <c r="G31" s="240"/>
      <c r="H31" s="240"/>
      <c r="I31" s="117"/>
      <c r="J31" s="117"/>
      <c r="K31" s="117"/>
      <c r="L31" s="117"/>
      <c r="M31" s="117"/>
      <c r="N31" s="117"/>
      <c r="O31" s="117"/>
    </row>
    <row r="32" spans="1:24" ht="15" customHeight="1" x14ac:dyDescent="0.25">
      <c r="A32" s="346" t="s">
        <v>86</v>
      </c>
      <c r="B32" s="347"/>
      <c r="C32" s="347"/>
      <c r="D32" s="347"/>
      <c r="E32" s="347"/>
      <c r="F32" s="348"/>
      <c r="G32" s="239"/>
      <c r="H32" s="239"/>
      <c r="I32" s="117"/>
      <c r="J32" s="117"/>
      <c r="K32" s="117"/>
      <c r="L32" s="117"/>
      <c r="M32" s="177" t="s">
        <v>144</v>
      </c>
      <c r="N32" s="177" t="s">
        <v>145</v>
      </c>
      <c r="O32" s="177" t="s">
        <v>146</v>
      </c>
    </row>
    <row r="33" spans="1:19" ht="15" customHeight="1" x14ac:dyDescent="0.25">
      <c r="A33" s="178" t="s">
        <v>7</v>
      </c>
      <c r="B33" s="178" t="s">
        <v>0</v>
      </c>
      <c r="C33" s="178" t="s">
        <v>1</v>
      </c>
      <c r="D33" s="178" t="s">
        <v>2</v>
      </c>
      <c r="E33" s="179" t="s">
        <v>8</v>
      </c>
      <c r="F33" s="180" t="s">
        <v>28</v>
      </c>
      <c r="G33" s="240" t="s">
        <v>157</v>
      </c>
      <c r="H33" s="240" t="s">
        <v>158</v>
      </c>
      <c r="I33" s="177" t="s">
        <v>63</v>
      </c>
      <c r="J33" s="181" t="s">
        <v>142</v>
      </c>
      <c r="K33" s="177" t="s">
        <v>143</v>
      </c>
      <c r="M33" s="182">
        <f>COUNTIF(M34:M1048576,"C")</f>
        <v>7</v>
      </c>
      <c r="N33" s="182">
        <f>COUNTIF(N34:N1048576,"X")</f>
        <v>11</v>
      </c>
      <c r="O33" s="182">
        <f>COUNTIF(O34:O468,"X")</f>
        <v>1</v>
      </c>
      <c r="P33" s="183" t="s">
        <v>79</v>
      </c>
      <c r="Q33" s="184" t="s">
        <v>124</v>
      </c>
      <c r="R33" s="184" t="s">
        <v>125</v>
      </c>
      <c r="S33" s="183" t="s">
        <v>147</v>
      </c>
    </row>
    <row r="34" spans="1:19" s="196" customFormat="1" ht="15" customHeight="1" x14ac:dyDescent="0.3">
      <c r="A34" s="185">
        <f>INDEX('Cart Formulary Calculator'!$A$12:$A$433,MATCH(F34,'Cart Formulary Calculator'!$F$12:$F$433,0))</f>
        <v>0</v>
      </c>
      <c r="B34" s="186" t="str">
        <f>INDEX('Pricing (Drugs) SS'!$B:$B,MATCH(F34,'Pricing (Drugs) SS'!$A:$A,0))</f>
        <v>ADENOSINE INJECTION, USP 6mg/2mL (3mg/mL) 2mL VIAL</v>
      </c>
      <c r="C34" s="187" t="str">
        <f>INDEX('Pricing (Drugs) SS'!$E:$E,MATCH(F34,'Pricing (Drugs) SS'!$A:$A,0))</f>
        <v>3mg/mL</v>
      </c>
      <c r="D34" s="188" t="str">
        <f>INDEX('Pricing (Drugs) SS'!$F:$F,MATCH(F34,'Pricing (Drugs) SS'!$A:$A,0))</f>
        <v>2mL</v>
      </c>
      <c r="E34" s="188" t="str">
        <f>INDEX('Pricing (Drugs) SS'!$D:$D,MATCH(F34,'Pricing (Drugs) SS'!$A:$A,0))</f>
        <v>63323-651-02</v>
      </c>
      <c r="F34" s="189">
        <v>1020490</v>
      </c>
      <c r="G34" s="241">
        <f>INDEX('Pricing (Drugs) SS'!$I:$I,MATCH(F34,'Pricing (Drugs) SS'!$A:$A,0))</f>
        <v>10.95</v>
      </c>
      <c r="H34" s="241">
        <f>A34*G34</f>
        <v>0</v>
      </c>
      <c r="I34" s="190">
        <f>VLOOKUP(F34,'Price Sheet'!$A:$C,3,FALSE)</f>
        <v>32.950000000000003</v>
      </c>
      <c r="J34" s="191"/>
      <c r="K34" s="192">
        <f t="shared" ref="K34:K64" si="0">J34+I34</f>
        <v>32.950000000000003</v>
      </c>
      <c r="L34" s="192">
        <f t="shared" ref="L34:L64" si="1">IFERROR(K34*A34,"")</f>
        <v>0</v>
      </c>
      <c r="M34" s="193" t="str">
        <f>IF(AND(Q34&lt;&gt;"Drug Room",Q34&lt;&gt;"SAFE- CONTROLLED"),"C","")</f>
        <v/>
      </c>
      <c r="N34" s="194" t="str">
        <f>IF(R34&lt;&gt;"Not on List","X","")</f>
        <v/>
      </c>
      <c r="O34" s="124" t="str">
        <f>IF(Q34="Safe- Controlled","X","")</f>
        <v/>
      </c>
      <c r="P34" s="124" t="str">
        <f>INDEX('Pricing (Drugs) SS'!$C:$C,MATCH(F34,'Pricing (Drugs) SS'!$A:$A,0))</f>
        <v>ACTIVE</v>
      </c>
      <c r="Q34" s="124" t="str">
        <f>IF(AND($L$23="Extra DEA Req",S34="X"),"SAFE- CONTROLLED",INDEX('Pricing (Drugs) SS'!$G:$G,MATCH(F34,'Pricing (Drugs) SS'!$A:$A,0)))</f>
        <v>DRUG ROOM</v>
      </c>
      <c r="R34" s="195" t="str">
        <f>INDEX('Pricing (Drugs) SS'!$H:$H,MATCH(F34,'Pricing (Drugs) SS'!$A:$A,0))</f>
        <v>Not on List</v>
      </c>
      <c r="S34" s="195" t="str">
        <f>IF(COUNTIFS('Version and Lists'!$F:$F,F34,'Version and Lists'!$G:$G,$M$22)&gt;0,"X","")</f>
        <v/>
      </c>
    </row>
    <row r="35" spans="1:19" ht="15" customHeight="1" x14ac:dyDescent="0.3">
      <c r="A35" s="185">
        <f>INDEX('Cart Formulary Calculator'!$A$12:$A$433,MATCH(F35,'Cart Formulary Calculator'!$F$12:$F$433,0))</f>
        <v>0</v>
      </c>
      <c r="B35" s="186" t="str">
        <f>INDEX('Pricing (Drugs) SS'!$B:$B,MATCH(F35,'Pricing (Drugs) SS'!$A:$A,0))</f>
        <v>ADENOSINE INJECTION, USP 12mg/4mL (3mg/mL) 4mL VIAL</v>
      </c>
      <c r="C35" s="187" t="str">
        <f>INDEX('Pricing (Drugs) SS'!$E:$E,MATCH(F35,'Pricing (Drugs) SS'!$A:$A,0))</f>
        <v>3mg/mL</v>
      </c>
      <c r="D35" s="188" t="str">
        <f>INDEX('Pricing (Drugs) SS'!$F:$F,MATCH(F35,'Pricing (Drugs) SS'!$A:$A,0))</f>
        <v>4mL</v>
      </c>
      <c r="E35" s="188" t="str">
        <f>INDEX('Pricing (Drugs) SS'!$D:$D,MATCH(F35,'Pricing (Drugs) SS'!$A:$A,0))</f>
        <v>63323-651-04</v>
      </c>
      <c r="F35" s="189">
        <v>1012700</v>
      </c>
      <c r="G35" s="241">
        <f>INDEX('Pricing (Drugs) SS'!$I:$I,MATCH(F35,'Pricing (Drugs) SS'!$A:$A,0))</f>
        <v>24.97</v>
      </c>
      <c r="H35" s="241">
        <f t="shared" ref="H35:H98" si="2">A35*G35</f>
        <v>0</v>
      </c>
      <c r="I35" s="190">
        <f>VLOOKUP(F35,'Price Sheet'!$A:$C,3,FALSE)</f>
        <v>59.99</v>
      </c>
      <c r="J35" s="191"/>
      <c r="K35" s="192">
        <f t="shared" si="0"/>
        <v>59.99</v>
      </c>
      <c r="L35" s="192">
        <f t="shared" si="1"/>
        <v>0</v>
      </c>
      <c r="M35" s="193" t="str">
        <f t="shared" ref="M35:M97" si="3">IF(AND(Q35&lt;&gt;"Drug Room",Q35&lt;&gt;"SAFE- CONTROLLED"),"C","")</f>
        <v/>
      </c>
      <c r="N35" s="194" t="str">
        <f t="shared" ref="N35:N96" si="4">IF(R35&lt;&gt;"Not on List","X","")</f>
        <v/>
      </c>
      <c r="O35" s="124" t="str">
        <f t="shared" ref="O35:O98" si="5">IF(Q35="Safe- Controlled","X","")</f>
        <v/>
      </c>
      <c r="P35" s="124" t="str">
        <f>INDEX('Pricing (Drugs) SS'!$C:$C,MATCH(F35,'Pricing (Drugs) SS'!$A:$A,0))</f>
        <v>ACTIVE</v>
      </c>
      <c r="Q35" s="124" t="str">
        <f>IF(AND($L$23="Extra DEA Req",S35="X"),"SAFE- CONTROLLED",INDEX('Pricing (Drugs) SS'!$G:$G,MATCH(F35,'Pricing (Drugs) SS'!$A:$A,0)))</f>
        <v>DRUG ROOM</v>
      </c>
      <c r="R35" s="195" t="str">
        <f>INDEX('Pricing (Drugs) SS'!$H:$H,MATCH(F35,'Pricing (Drugs) SS'!$A:$A,0))</f>
        <v>Not on List</v>
      </c>
      <c r="S35" s="195" t="str">
        <f>IF(COUNTIFS('Version and Lists'!$F:$F,F35,'Version and Lists'!$G:$G,$M$22)&gt;0,"X","")</f>
        <v/>
      </c>
    </row>
    <row r="36" spans="1:19" ht="15" customHeight="1" x14ac:dyDescent="0.3">
      <c r="A36" s="185">
        <f>INDEX('Cart Formulary Calculator'!$A$12:$A$433,MATCH(F36,'Cart Formulary Calculator'!$F$12:$F$433,0))</f>
        <v>0</v>
      </c>
      <c r="B36" s="186" t="str">
        <f>INDEX('Pricing (Drugs) SS'!$B:$B,MATCH(F36,'Pricing (Drugs) SS'!$A:$A,0))</f>
        <v>ADENOSINE INJECTION, USP 12mg PER 4mL (3mg PER mL) 4mL SYR</v>
      </c>
      <c r="C36" s="187" t="str">
        <f>INDEX('Pricing (Drugs) SS'!$E:$E,MATCH(F36,'Pricing (Drugs) SS'!$A:$A,0))</f>
        <v>3mg/mL</v>
      </c>
      <c r="D36" s="188" t="str">
        <f>INDEX('Pricing (Drugs) SS'!$F:$F,MATCH(F36,'Pricing (Drugs) SS'!$A:$A,0))</f>
        <v>4mL</v>
      </c>
      <c r="E36" s="188" t="str">
        <f>INDEX('Pricing (Drugs) SS'!$D:$D,MATCH(F36,'Pricing (Drugs) SS'!$A:$A,0))</f>
        <v>63323-651-90</v>
      </c>
      <c r="F36" s="189">
        <v>1021740</v>
      </c>
      <c r="G36" s="241">
        <f>INDEX('Pricing (Drugs) SS'!$I:$I,MATCH(F36,'Pricing (Drugs) SS'!$A:$A,0))</f>
        <v>25.9</v>
      </c>
      <c r="H36" s="241">
        <f t="shared" si="2"/>
        <v>0</v>
      </c>
      <c r="I36" s="190">
        <f>VLOOKUP(F36,'Price Sheet'!$A:$C,3,FALSE)</f>
        <v>87.99</v>
      </c>
      <c r="J36" s="191"/>
      <c r="K36" s="192">
        <f t="shared" si="0"/>
        <v>87.99</v>
      </c>
      <c r="L36" s="192">
        <f t="shared" si="1"/>
        <v>0</v>
      </c>
      <c r="M36" s="193" t="str">
        <f t="shared" si="3"/>
        <v/>
      </c>
      <c r="N36" s="194" t="str">
        <f t="shared" si="4"/>
        <v/>
      </c>
      <c r="O36" s="124" t="str">
        <f t="shared" si="5"/>
        <v/>
      </c>
      <c r="P36" s="124" t="str">
        <f>INDEX('Pricing (Drugs) SS'!$C:$C,MATCH(F36,'Pricing (Drugs) SS'!$A:$A,0))</f>
        <v>ACTIVE</v>
      </c>
      <c r="Q36" s="124" t="str">
        <f>IF(AND($L$23="Extra DEA Req",S36="X"),"SAFE- CONTROLLED",INDEX('Pricing (Drugs) SS'!$G:$G,MATCH(F36,'Pricing (Drugs) SS'!$A:$A,0)))</f>
        <v>DRUG ROOM</v>
      </c>
      <c r="R36" s="195" t="str">
        <f>INDEX('Pricing (Drugs) SS'!$H:$H,MATCH(F36,'Pricing (Drugs) SS'!$A:$A,0))</f>
        <v>Not on List</v>
      </c>
      <c r="S36" s="195" t="str">
        <f>IF(COUNTIFS('Version and Lists'!$F:$F,F36,'Version and Lists'!$G:$G,$M$22)&gt;0,"X","")</f>
        <v/>
      </c>
    </row>
    <row r="37" spans="1:19" ht="15" customHeight="1" x14ac:dyDescent="0.3">
      <c r="A37" s="185">
        <f>INDEX('Cart Formulary Calculator'!$A$12:$A$433,MATCH(F37,'Cart Formulary Calculator'!$F$12:$F$433,0))</f>
        <v>0</v>
      </c>
      <c r="B37" s="186" t="str">
        <f>INDEX('Pricing (Drugs) SS'!$B:$B,MATCH(F37,'Pricing (Drugs) SS'!$A:$A,0))</f>
        <v>VENTOLIN® HFA (ALBUTEROL SULFATE) 90mcg BOXED</v>
      </c>
      <c r="C37" s="187" t="str">
        <f>INDEX('Pricing (Drugs) SS'!$E:$E,MATCH(F37,'Pricing (Drugs) SS'!$A:$A,0))</f>
        <v>90mcg</v>
      </c>
      <c r="D37" s="188" t="str">
        <f>INDEX('Pricing (Drugs) SS'!$F:$F,MATCH(F37,'Pricing (Drugs) SS'!$A:$A,0))</f>
        <v>8gm</v>
      </c>
      <c r="E37" s="188" t="str">
        <f>INDEX('Pricing (Drugs) SS'!$D:$D,MATCH(F37,'Pricing (Drugs) SS'!$A:$A,0))</f>
        <v>0173-0682-24</v>
      </c>
      <c r="F37" s="189">
        <v>1000700</v>
      </c>
      <c r="G37" s="241">
        <f>INDEX('Pricing (Drugs) SS'!$I:$I,MATCH(F37,'Pricing (Drugs) SS'!$A:$A,0))</f>
        <v>22.72</v>
      </c>
      <c r="H37" s="241">
        <f t="shared" si="2"/>
        <v>0</v>
      </c>
      <c r="I37" s="190">
        <f>VLOOKUP(F37,'Price Sheet'!$A:$C,3,FALSE)</f>
        <v>114.95</v>
      </c>
      <c r="J37" s="191"/>
      <c r="K37" s="192">
        <f t="shared" si="0"/>
        <v>114.95</v>
      </c>
      <c r="L37" s="192">
        <f t="shared" si="1"/>
        <v>0</v>
      </c>
      <c r="M37" s="193" t="str">
        <f t="shared" si="3"/>
        <v/>
      </c>
      <c r="N37" s="194" t="str">
        <f t="shared" si="4"/>
        <v/>
      </c>
      <c r="O37" s="124" t="str">
        <f t="shared" si="5"/>
        <v/>
      </c>
      <c r="P37" s="124" t="str">
        <f>INDEX('Pricing (Drugs) SS'!$C:$C,MATCH(F37,'Pricing (Drugs) SS'!$A:$A,0))</f>
        <v>ACTIVE</v>
      </c>
      <c r="Q37" s="124" t="str">
        <f>IF(AND($L$23="Extra DEA Req",S37="X"),"SAFE- CONTROLLED",INDEX('Pricing (Drugs) SS'!$G:$G,MATCH(F37,'Pricing (Drugs) SS'!$A:$A,0)))</f>
        <v>DRUG ROOM</v>
      </c>
      <c r="R37" s="195" t="str">
        <f>INDEX('Pricing (Drugs) SS'!$H:$H,MATCH(F37,'Pricing (Drugs) SS'!$A:$A,0))</f>
        <v>Not on List</v>
      </c>
      <c r="S37" s="195" t="str">
        <f>IF(COUNTIFS('Version and Lists'!$F:$F,F37,'Version and Lists'!$G:$G,$M$22)&gt;0,"X","")</f>
        <v/>
      </c>
    </row>
    <row r="38" spans="1:19" ht="15" customHeight="1" x14ac:dyDescent="0.3">
      <c r="A38" s="185">
        <f>INDEX('Cart Formulary Calculator'!$A$12:$A$433,MATCH(F38,'Cart Formulary Calculator'!$F$12:$F$433,0))</f>
        <v>0</v>
      </c>
      <c r="B38" s="186" t="str">
        <f>INDEX('Pricing (Drugs) SS'!$B:$B,MATCH(F38,'Pricing (Drugs) SS'!$A:$A,0))</f>
        <v>AMINOPHYLLINE INJECTION, USP 250mg (25mg/mL) 10mL VIAL</v>
      </c>
      <c r="C38" s="187" t="str">
        <f>INDEX('Pricing (Drugs) SS'!$E:$E,MATCH(F38,'Pricing (Drugs) SS'!$A:$A,0))</f>
        <v>25mg/mL</v>
      </c>
      <c r="D38" s="188" t="str">
        <f>INDEX('Pricing (Drugs) SS'!$F:$F,MATCH(F38,'Pricing (Drugs) SS'!$A:$A,0))</f>
        <v>10mL</v>
      </c>
      <c r="E38" s="188" t="str">
        <f>INDEX('Pricing (Drugs) SS'!$D:$D,MATCH(F38,'Pricing (Drugs) SS'!$A:$A,0))</f>
        <v>0409-5921-01</v>
      </c>
      <c r="F38" s="189">
        <v>1000050</v>
      </c>
      <c r="G38" s="241">
        <f>INDEX('Pricing (Drugs) SS'!$I:$I,MATCH(F38,'Pricing (Drugs) SS'!$A:$A,0))</f>
        <v>24.1828</v>
      </c>
      <c r="H38" s="241">
        <f t="shared" si="2"/>
        <v>0</v>
      </c>
      <c r="I38" s="190">
        <f>VLOOKUP(F38,'Price Sheet'!$A:$C,3,FALSE)</f>
        <v>49.95</v>
      </c>
      <c r="J38" s="191"/>
      <c r="K38" s="192">
        <f t="shared" si="0"/>
        <v>49.95</v>
      </c>
      <c r="L38" s="192">
        <f t="shared" si="1"/>
        <v>0</v>
      </c>
      <c r="M38" s="193" t="str">
        <f t="shared" si="3"/>
        <v/>
      </c>
      <c r="N38" s="194" t="str">
        <f t="shared" si="4"/>
        <v/>
      </c>
      <c r="O38" s="124" t="str">
        <f t="shared" si="5"/>
        <v/>
      </c>
      <c r="P38" s="124" t="str">
        <f>INDEX('Pricing (Drugs) SS'!$C:$C,MATCH(F38,'Pricing (Drugs) SS'!$A:$A,0))</f>
        <v>ACTIVE</v>
      </c>
      <c r="Q38" s="124" t="str">
        <f>IF(AND($L$23="Extra DEA Req",S38="X"),"SAFE- CONTROLLED",INDEX('Pricing (Drugs) SS'!$G:$G,MATCH(F38,'Pricing (Drugs) SS'!$A:$A,0)))</f>
        <v>DRUG ROOM</v>
      </c>
      <c r="R38" s="195" t="str">
        <f>INDEX('Pricing (Drugs) SS'!$H:$H,MATCH(F38,'Pricing (Drugs) SS'!$A:$A,0))</f>
        <v>Not on List</v>
      </c>
      <c r="S38" s="195" t="str">
        <f>IF(COUNTIFS('Version and Lists'!$F:$F,F38,'Version and Lists'!$G:$G,$M$22)&gt;0,"X","")</f>
        <v/>
      </c>
    </row>
    <row r="39" spans="1:19" ht="15" customHeight="1" x14ac:dyDescent="0.3">
      <c r="A39" s="185">
        <f>INDEX('Cart Formulary Calculator'!$A$12:$A$433,MATCH(F39,'Cart Formulary Calculator'!$F$12:$F$433,0))</f>
        <v>0</v>
      </c>
      <c r="B39" s="186" t="str">
        <f>INDEX('Pricing (Drugs) SS'!$B:$B,MATCH(F39,'Pricing (Drugs) SS'!$A:$A,0))</f>
        <v>AMINOPHYLLINE INJ., USP 500mg (25mg/mL) 20mL VIAL</v>
      </c>
      <c r="C39" s="187" t="str">
        <f>INDEX('Pricing (Drugs) SS'!$E:$E,MATCH(F39,'Pricing (Drugs) SS'!$A:$A,0))</f>
        <v>25mg/mL</v>
      </c>
      <c r="D39" s="188" t="str">
        <f>INDEX('Pricing (Drugs) SS'!$F:$F,MATCH(F39,'Pricing (Drugs) SS'!$A:$A,0))</f>
        <v>20mL</v>
      </c>
      <c r="E39" s="188" t="str">
        <f>INDEX('Pricing (Drugs) SS'!$D:$D,MATCH(F39,'Pricing (Drugs) SS'!$A:$A,0))</f>
        <v>0409-5922-01</v>
      </c>
      <c r="F39" s="189">
        <v>1010140</v>
      </c>
      <c r="G39" s="241">
        <f>INDEX('Pricing (Drugs) SS'!$I:$I,MATCH(F39,'Pricing (Drugs) SS'!$A:$A,0))</f>
        <v>15.5608</v>
      </c>
      <c r="H39" s="241">
        <f t="shared" si="2"/>
        <v>0</v>
      </c>
      <c r="I39" s="190">
        <f>VLOOKUP(F39,'Price Sheet'!$A:$C,3,FALSE)</f>
        <v>53.95</v>
      </c>
      <c r="J39" s="191"/>
      <c r="K39" s="192">
        <f t="shared" si="0"/>
        <v>53.95</v>
      </c>
      <c r="L39" s="192">
        <f t="shared" si="1"/>
        <v>0</v>
      </c>
      <c r="M39" s="193" t="str">
        <f t="shared" si="3"/>
        <v/>
      </c>
      <c r="N39" s="194" t="str">
        <f t="shared" si="4"/>
        <v/>
      </c>
      <c r="O39" s="124" t="str">
        <f t="shared" si="5"/>
        <v/>
      </c>
      <c r="P39" s="124" t="str">
        <f>INDEX('Pricing (Drugs) SS'!$C:$C,MATCH(F39,'Pricing (Drugs) SS'!$A:$A,0))</f>
        <v>ACTIVE</v>
      </c>
      <c r="Q39" s="124" t="str">
        <f>IF(AND($L$23="Extra DEA Req",S39="X"),"SAFE- CONTROLLED",INDEX('Pricing (Drugs) SS'!$G:$G,MATCH(F39,'Pricing (Drugs) SS'!$A:$A,0)))</f>
        <v>DRUG ROOM</v>
      </c>
      <c r="R39" s="195" t="str">
        <f>INDEX('Pricing (Drugs) SS'!$H:$H,MATCH(F39,'Pricing (Drugs) SS'!$A:$A,0))</f>
        <v>Not on List</v>
      </c>
      <c r="S39" s="195" t="str">
        <f>IF(COUNTIFS('Version and Lists'!$F:$F,F39,'Version and Lists'!$G:$G,$M$22)&gt;0,"X","")</f>
        <v/>
      </c>
    </row>
    <row r="40" spans="1:19" ht="15" customHeight="1" x14ac:dyDescent="0.3">
      <c r="A40" s="185">
        <f>INDEX('Cart Formulary Calculator'!$A$12:$A$433,MATCH(F40,'Cart Formulary Calculator'!$F$12:$F$433,0))</f>
        <v>0</v>
      </c>
      <c r="B40" s="186" t="str">
        <f>INDEX('Pricing (Drugs) SS'!$B:$B,MATCH(F40,'Pricing (Drugs) SS'!$A:$A,0))</f>
        <v>AMIODARONE HYDROCHLORIDE INJECTION 150mg/3mL (50mg/mL) VIAL</v>
      </c>
      <c r="C40" s="187" t="str">
        <f>INDEX('Pricing (Drugs) SS'!$E:$E,MATCH(F40,'Pricing (Drugs) SS'!$A:$A,0))</f>
        <v>50mg/mL</v>
      </c>
      <c r="D40" s="188" t="str">
        <f>INDEX('Pricing (Drugs) SS'!$F:$F,MATCH(F40,'Pricing (Drugs) SS'!$A:$A,0))</f>
        <v>3mL</v>
      </c>
      <c r="E40" s="188" t="str">
        <f>INDEX('Pricing (Drugs) SS'!$D:$D,MATCH(F40,'Pricing (Drugs) SS'!$A:$A,0))</f>
        <v>0143-9875-25</v>
      </c>
      <c r="F40" s="189">
        <v>1000060</v>
      </c>
      <c r="G40" s="241">
        <f>INDEX('Pricing (Drugs) SS'!$I:$I,MATCH(F40,'Pricing (Drugs) SS'!$A:$A,0))</f>
        <v>2</v>
      </c>
      <c r="H40" s="241">
        <f t="shared" si="2"/>
        <v>0</v>
      </c>
      <c r="I40" s="190">
        <f>VLOOKUP(F40,'Price Sheet'!$A:$C,3,FALSE)</f>
        <v>19.45</v>
      </c>
      <c r="J40" s="191"/>
      <c r="K40" s="192">
        <f t="shared" si="0"/>
        <v>19.45</v>
      </c>
      <c r="L40" s="192">
        <f t="shared" si="1"/>
        <v>0</v>
      </c>
      <c r="M40" s="193" t="str">
        <f t="shared" si="3"/>
        <v/>
      </c>
      <c r="N40" s="194" t="str">
        <f t="shared" si="4"/>
        <v/>
      </c>
      <c r="O40" s="124" t="str">
        <f t="shared" si="5"/>
        <v/>
      </c>
      <c r="P40" s="124" t="str">
        <f>INDEX('Pricing (Drugs) SS'!$C:$C,MATCH(F40,'Pricing (Drugs) SS'!$A:$A,0))</f>
        <v>ACTIVE</v>
      </c>
      <c r="Q40" s="124" t="str">
        <f>IF(AND($L$23="Extra DEA Req",S40="X"),"SAFE- CONTROLLED",INDEX('Pricing (Drugs) SS'!$G:$G,MATCH(F40,'Pricing (Drugs) SS'!$A:$A,0)))</f>
        <v>DRUG ROOM</v>
      </c>
      <c r="R40" s="195" t="str">
        <f>INDEX('Pricing (Drugs) SS'!$H:$H,MATCH(F40,'Pricing (Drugs) SS'!$A:$A,0))</f>
        <v>Not on List</v>
      </c>
      <c r="S40" s="195" t="str">
        <f>IF(COUNTIFS('Version and Lists'!$F:$F,F40,'Version and Lists'!$G:$G,$M$22)&gt;0,"X","")</f>
        <v/>
      </c>
    </row>
    <row r="41" spans="1:19" ht="15" customHeight="1" x14ac:dyDescent="0.3">
      <c r="A41" s="185">
        <f>INDEX('Cart Formulary Calculator'!$A$12:$A$433,MATCH(F41,'Cart Formulary Calculator'!$F$12:$F$433,0))</f>
        <v>0</v>
      </c>
      <c r="B41" s="186" t="str">
        <f>INDEX('Pricing (Drugs) SS'!$B:$B,MATCH(F41,'Pricing (Drugs) SS'!$A:$A,0))</f>
        <v>AMIODARONE HYDROCHLORIDE INJECTION 900mg/18mL (50mg/mL) 18mL VIAL</v>
      </c>
      <c r="C41" s="187" t="str">
        <f>INDEX('Pricing (Drugs) SS'!$E:$E,MATCH(F41,'Pricing (Drugs) SS'!$A:$A,0))</f>
        <v>50mg/mL</v>
      </c>
      <c r="D41" s="188" t="str">
        <f>INDEX('Pricing (Drugs) SS'!$F:$F,MATCH(F41,'Pricing (Drugs) SS'!$A:$A,0))</f>
        <v>18mL</v>
      </c>
      <c r="E41" s="188" t="str">
        <f>INDEX('Pricing (Drugs) SS'!$D:$D,MATCH(F41,'Pricing (Drugs) SS'!$A:$A,0))</f>
        <v>67457-0153-18</v>
      </c>
      <c r="F41" s="189">
        <v>1011280</v>
      </c>
      <c r="G41" s="241">
        <f>INDEX('Pricing (Drugs) SS'!$I:$I,MATCH(F41,'Pricing (Drugs) SS'!$A:$A,0))</f>
        <v>18.010000000000002</v>
      </c>
      <c r="H41" s="241">
        <f t="shared" si="2"/>
        <v>0</v>
      </c>
      <c r="I41" s="190">
        <f>VLOOKUP(F41,'Price Sheet'!$A:$C,3,FALSE)</f>
        <v>54.99</v>
      </c>
      <c r="J41" s="191"/>
      <c r="K41" s="192">
        <f t="shared" si="0"/>
        <v>54.99</v>
      </c>
      <c r="L41" s="192">
        <f t="shared" si="1"/>
        <v>0</v>
      </c>
      <c r="M41" s="193" t="str">
        <f t="shared" si="3"/>
        <v/>
      </c>
      <c r="N41" s="194" t="str">
        <f t="shared" si="4"/>
        <v/>
      </c>
      <c r="O41" s="124" t="str">
        <f t="shared" si="5"/>
        <v/>
      </c>
      <c r="P41" s="124" t="str">
        <f>INDEX('Pricing (Drugs) SS'!$C:$C,MATCH(F41,'Pricing (Drugs) SS'!$A:$A,0))</f>
        <v>ACTIVE</v>
      </c>
      <c r="Q41" s="124" t="str">
        <f>IF(AND($L$23="Extra DEA Req",S41="X"),"SAFE- CONTROLLED",INDEX('Pricing (Drugs) SS'!$G:$G,MATCH(F41,'Pricing (Drugs) SS'!$A:$A,0)))</f>
        <v>DRUG ROOM</v>
      </c>
      <c r="R41" s="195" t="str">
        <f>INDEX('Pricing (Drugs) SS'!$H:$H,MATCH(F41,'Pricing (Drugs) SS'!$A:$A,0))</f>
        <v>Not on List</v>
      </c>
      <c r="S41" s="195" t="str">
        <f>IF(COUNTIFS('Version and Lists'!$F:$F,F41,'Version and Lists'!$G:$G,$M$22)&gt;0,"X","")</f>
        <v/>
      </c>
    </row>
    <row r="42" spans="1:19" ht="15" customHeight="1" x14ac:dyDescent="0.3">
      <c r="A42" s="185">
        <f>INDEX('Cart Formulary Calculator'!$A$12:$A$433,MATCH(F42,'Cart Formulary Calculator'!$F$12:$F$433,0))</f>
        <v>0</v>
      </c>
      <c r="B42" s="186" t="str">
        <f>INDEX('Pricing (Drugs) SS'!$B:$B,MATCH(F42,'Pricing (Drugs) SS'!$A:$A,0))</f>
        <v>NEXTERONE (AMIODARONE HCI) PREMIXED INJECTION 360mg/200mL (1.8mg/mL) 200mL BAG</v>
      </c>
      <c r="C42" s="187" t="str">
        <f>INDEX('Pricing (Drugs) SS'!$E:$E,MATCH(F42,'Pricing (Drugs) SS'!$A:$A,0))</f>
        <v>1.8mg/mL</v>
      </c>
      <c r="D42" s="188" t="str">
        <f>INDEX('Pricing (Drugs) SS'!$F:$F,MATCH(F42,'Pricing (Drugs) SS'!$A:$A,0))</f>
        <v>200mL</v>
      </c>
      <c r="E42" s="188" t="str">
        <f>INDEX('Pricing (Drugs) SS'!$D:$D,MATCH(F42,'Pricing (Drugs) SS'!$A:$A,0))</f>
        <v>43066-360-20</v>
      </c>
      <c r="F42" s="189">
        <v>1013010</v>
      </c>
      <c r="G42" s="241">
        <f>INDEX('Pricing (Drugs) SS'!$I:$I,MATCH(F42,'Pricing (Drugs) SS'!$A:$A,0))</f>
        <v>49.613</v>
      </c>
      <c r="H42" s="241">
        <f t="shared" si="2"/>
        <v>0</v>
      </c>
      <c r="I42" s="190">
        <f>VLOOKUP(F42,'Price Sheet'!$A:$C,3,FALSE)</f>
        <v>129.94999999999999</v>
      </c>
      <c r="J42" s="191"/>
      <c r="K42" s="192">
        <f t="shared" si="0"/>
        <v>129.94999999999999</v>
      </c>
      <c r="L42" s="192">
        <f t="shared" si="1"/>
        <v>0</v>
      </c>
      <c r="M42" s="193" t="str">
        <f t="shared" si="3"/>
        <v/>
      </c>
      <c r="N42" s="194" t="str">
        <f t="shared" si="4"/>
        <v/>
      </c>
      <c r="O42" s="124" t="str">
        <f t="shared" si="5"/>
        <v/>
      </c>
      <c r="P42" s="124" t="str">
        <f>INDEX('Pricing (Drugs) SS'!$C:$C,MATCH(F42,'Pricing (Drugs) SS'!$A:$A,0))</f>
        <v>ACTIVE</v>
      </c>
      <c r="Q42" s="124" t="str">
        <f>IF(AND($L$23="Extra DEA Req",S42="X"),"SAFE- CONTROLLED",INDEX('Pricing (Drugs) SS'!$G:$G,MATCH(F42,'Pricing (Drugs) SS'!$A:$A,0)))</f>
        <v>DRUG ROOM</v>
      </c>
      <c r="R42" s="195" t="str">
        <f>INDEX('Pricing (Drugs) SS'!$H:$H,MATCH(F42,'Pricing (Drugs) SS'!$A:$A,0))</f>
        <v>Not on List</v>
      </c>
      <c r="S42" s="195" t="str">
        <f>IF(COUNTIFS('Version and Lists'!$F:$F,F42,'Version and Lists'!$G:$G,$M$22)&gt;0,"X","")</f>
        <v/>
      </c>
    </row>
    <row r="43" spans="1:19" ht="15" customHeight="1" x14ac:dyDescent="0.3">
      <c r="A43" s="185">
        <f>INDEX('Cart Formulary Calculator'!$A$12:$A$433,MATCH(F43,'Cart Formulary Calculator'!$F$12:$F$433,0))</f>
        <v>0</v>
      </c>
      <c r="B43" s="186" t="str">
        <f>INDEX('Pricing (Drugs) SS'!$B:$B,MATCH(F43,'Pricing (Drugs) SS'!$A:$A,0))</f>
        <v>ASPIRIN (NSAID) 325mg 2 TABLET (2 PACKS)</v>
      </c>
      <c r="C43" s="187" t="str">
        <f>INDEX('Pricing (Drugs) SS'!$E:$E,MATCH(F43,'Pricing (Drugs) SS'!$A:$A,0))</f>
        <v>325mg</v>
      </c>
      <c r="D43" s="188" t="str">
        <f>INDEX('Pricing (Drugs) SS'!$F:$F,MATCH(F43,'Pricing (Drugs) SS'!$A:$A,0))</f>
        <v>2 tablets</v>
      </c>
      <c r="E43" s="188" t="str">
        <f>INDEX('Pricing (Drugs) SS'!$D:$D,MATCH(F43,'Pricing (Drugs) SS'!$A:$A,0))</f>
        <v>0924-0104-01</v>
      </c>
      <c r="F43" s="189">
        <v>1017600</v>
      </c>
      <c r="G43" s="241">
        <f>INDEX('Pricing (Drugs) SS'!$I:$I,MATCH(F43,'Pricing (Drugs) SS'!$A:$A,0))</f>
        <v>0.156</v>
      </c>
      <c r="H43" s="241">
        <f t="shared" si="2"/>
        <v>0</v>
      </c>
      <c r="I43" s="190">
        <f>VLOOKUP(F43,'Price Sheet'!$A:$C,3,FALSE)</f>
        <v>4.75</v>
      </c>
      <c r="J43" s="191"/>
      <c r="K43" s="192">
        <f t="shared" si="0"/>
        <v>4.75</v>
      </c>
      <c r="L43" s="192">
        <f t="shared" si="1"/>
        <v>0</v>
      </c>
      <c r="M43" s="193" t="str">
        <f t="shared" si="3"/>
        <v/>
      </c>
      <c r="N43" s="194" t="str">
        <f t="shared" si="4"/>
        <v/>
      </c>
      <c r="O43" s="124" t="str">
        <f t="shared" si="5"/>
        <v/>
      </c>
      <c r="P43" s="124" t="str">
        <f>INDEX('Pricing (Drugs) SS'!$C:$C,MATCH(F43,'Pricing (Drugs) SS'!$A:$A,0))</f>
        <v>RESTRICTED</v>
      </c>
      <c r="Q43" s="124" t="str">
        <f>IF(AND($L$23="Extra DEA Req",S43="X"),"SAFE- CONTROLLED",INDEX('Pricing (Drugs) SS'!$G:$G,MATCH(F43,'Pricing (Drugs) SS'!$A:$A,0)))</f>
        <v>DRUG ROOM</v>
      </c>
      <c r="R43" s="195" t="str">
        <f>INDEX('Pricing (Drugs) SS'!$H:$H,MATCH(F43,'Pricing (Drugs) SS'!$A:$A,0))</f>
        <v>Not on List</v>
      </c>
      <c r="S43" s="195" t="str">
        <f>IF(COUNTIFS('Version and Lists'!$F:$F,F43,'Version and Lists'!$G:$G,$M$22)&gt;0,"X","")</f>
        <v/>
      </c>
    </row>
    <row r="44" spans="1:19" ht="15" customHeight="1" x14ac:dyDescent="0.3">
      <c r="A44" s="185">
        <f>INDEX('Cart Formulary Calculator'!$A$12:$A$433,MATCH(F44,'Cart Formulary Calculator'!$F$12:$F$433,0))</f>
        <v>0</v>
      </c>
      <c r="B44" s="186" t="str">
        <f>INDEX('Pricing (Drugs) SS'!$B:$B,MATCH(F44,'Pricing (Drugs) SS'!$A:$A,0))</f>
        <v>ASPIRIN LOW DOSE CHEWABLE ORANGE PAIN RELIEVER (NSAID) 81mg 90/bt</v>
      </c>
      <c r="C44" s="187" t="str">
        <f>INDEX('Pricing (Drugs) SS'!$E:$E,MATCH(F44,'Pricing (Drugs) SS'!$A:$A,0))</f>
        <v>81mg</v>
      </c>
      <c r="D44" s="188" t="str">
        <f>INDEX('Pricing (Drugs) SS'!$F:$F,MATCH(F44,'Pricing (Drugs) SS'!$A:$A,0))</f>
        <v>TAB</v>
      </c>
      <c r="E44" s="188" t="str">
        <f>INDEX('Pricing (Drugs) SS'!$D:$D,MATCH(F44,'Pricing (Drugs) SS'!$A:$A,0))</f>
        <v>0904-6794-89</v>
      </c>
      <c r="F44" s="189">
        <v>1010220</v>
      </c>
      <c r="G44" s="241">
        <f>INDEX('Pricing (Drugs) SS'!$I:$I,MATCH(F44,'Pricing (Drugs) SS'!$A:$A,0))</f>
        <v>1.29</v>
      </c>
      <c r="H44" s="241">
        <f t="shared" si="2"/>
        <v>0</v>
      </c>
      <c r="I44" s="190">
        <f>VLOOKUP(F44,'Price Sheet'!$A:$C,3,FALSE)</f>
        <v>6.95</v>
      </c>
      <c r="J44" s="191"/>
      <c r="K44" s="192">
        <f t="shared" si="0"/>
        <v>6.95</v>
      </c>
      <c r="L44" s="192">
        <f t="shared" si="1"/>
        <v>0</v>
      </c>
      <c r="M44" s="193" t="str">
        <f t="shared" si="3"/>
        <v/>
      </c>
      <c r="N44" s="194" t="str">
        <f t="shared" si="4"/>
        <v/>
      </c>
      <c r="O44" s="124" t="str">
        <f t="shared" si="5"/>
        <v/>
      </c>
      <c r="P44" s="124" t="str">
        <f>INDEX('Pricing (Drugs) SS'!$C:$C,MATCH(F44,'Pricing (Drugs) SS'!$A:$A,0))</f>
        <v>ACTIVE</v>
      </c>
      <c r="Q44" s="124" t="str">
        <f>IF(AND($L$23="Extra DEA Req",S44="X"),"SAFE- CONTROLLED",INDEX('Pricing (Drugs) SS'!$G:$G,MATCH(F44,'Pricing (Drugs) SS'!$A:$A,0)))</f>
        <v>DRUG ROOM</v>
      </c>
      <c r="R44" s="195" t="str">
        <f>INDEX('Pricing (Drugs) SS'!$H:$H,MATCH(F44,'Pricing (Drugs) SS'!$A:$A,0))</f>
        <v>Not on List</v>
      </c>
      <c r="S44" s="195" t="str">
        <f>IF(COUNTIFS('Version and Lists'!$F:$F,F44,'Version and Lists'!$G:$G,$M$22)&gt;0,"X","")</f>
        <v/>
      </c>
    </row>
    <row r="45" spans="1:19" ht="15" customHeight="1" x14ac:dyDescent="0.3">
      <c r="A45" s="185">
        <f>INDEX('Cart Formulary Calculator'!$A$12:$A$433,MATCH(F45,'Cart Formulary Calculator'!$F$12:$F$433,0))</f>
        <v>0</v>
      </c>
      <c r="B45" s="186" t="str">
        <f>INDEX('Pricing (Drugs) SS'!$B:$B,MATCH(F45,'Pricing (Drugs) SS'!$A:$A,0))</f>
        <v>ASPIRIN (NSAID) 325mg EACH 100 TABLETS</v>
      </c>
      <c r="C45" s="187" t="str">
        <f>INDEX('Pricing (Drugs) SS'!$E:$E,MATCH(F45,'Pricing (Drugs) SS'!$A:$A,0))</f>
        <v>325 mg</v>
      </c>
      <c r="D45" s="188" t="str">
        <f>INDEX('Pricing (Drugs) SS'!$F:$F,MATCH(F45,'Pricing (Drugs) SS'!$A:$A,0))</f>
        <v>100 TABLETS</v>
      </c>
      <c r="E45" s="188" t="str">
        <f>INDEX('Pricing (Drugs) SS'!$D:$D,MATCH(F45,'Pricing (Drugs) SS'!$A:$A,0))</f>
        <v>0536-1054-29</v>
      </c>
      <c r="F45" s="189">
        <v>1013230</v>
      </c>
      <c r="G45" s="241">
        <f>INDEX('Pricing (Drugs) SS'!$I:$I,MATCH(F45,'Pricing (Drugs) SS'!$A:$A,0))</f>
        <v>1.31</v>
      </c>
      <c r="H45" s="241">
        <f t="shared" si="2"/>
        <v>0</v>
      </c>
      <c r="I45" s="190">
        <f>VLOOKUP(F45,'Price Sheet'!$A:$C,3,FALSE)</f>
        <v>3.99</v>
      </c>
      <c r="J45" s="191"/>
      <c r="K45" s="192">
        <f t="shared" si="0"/>
        <v>3.99</v>
      </c>
      <c r="L45" s="192">
        <f t="shared" si="1"/>
        <v>0</v>
      </c>
      <c r="M45" s="193" t="str">
        <f t="shared" si="3"/>
        <v/>
      </c>
      <c r="N45" s="194" t="str">
        <f t="shared" si="4"/>
        <v/>
      </c>
      <c r="O45" s="124" t="str">
        <f t="shared" si="5"/>
        <v/>
      </c>
      <c r="P45" s="124" t="str">
        <f>INDEX('Pricing (Drugs) SS'!$C:$C,MATCH(F45,'Pricing (Drugs) SS'!$A:$A,0))</f>
        <v>ACTIVE</v>
      </c>
      <c r="Q45" s="124" t="str">
        <f>IF(AND($L$23="Extra DEA Req",S45="X"),"SAFE- CONTROLLED",INDEX('Pricing (Drugs) SS'!$G:$G,MATCH(F45,'Pricing (Drugs) SS'!$A:$A,0)))</f>
        <v>DRUG ROOM</v>
      </c>
      <c r="R45" s="195" t="str">
        <f>INDEX('Pricing (Drugs) SS'!$H:$H,MATCH(F45,'Pricing (Drugs) SS'!$A:$A,0))</f>
        <v>Not on List</v>
      </c>
      <c r="S45" s="195" t="str">
        <f>IF(COUNTIFS('Version and Lists'!$F:$F,F45,'Version and Lists'!$G:$G,$M$22)&gt;0,"X","")</f>
        <v/>
      </c>
    </row>
    <row r="46" spans="1:19" ht="15" customHeight="1" x14ac:dyDescent="0.3">
      <c r="A46" s="185">
        <f>INDEX('Cart Formulary Calculator'!$A$12:$A$433,MATCH(F46,'Cart Formulary Calculator'!$F$12:$F$433,0))</f>
        <v>0</v>
      </c>
      <c r="B46" s="186" t="str">
        <f>INDEX('Pricing (Drugs) SS'!$B:$B,MATCH(F46,'Pricing (Drugs) SS'!$A:$A,0))</f>
        <v>ATROPINE SULFATE INJECTION, USP 0.4mg/mL 1mL VIAL</v>
      </c>
      <c r="C46" s="187" t="str">
        <f>INDEX('Pricing (Drugs) SS'!$E:$E,MATCH(F46,'Pricing (Drugs) SS'!$A:$A,0))</f>
        <v>0.4mg/mL</v>
      </c>
      <c r="D46" s="188" t="str">
        <f>INDEX('Pricing (Drugs) SS'!$F:$F,MATCH(F46,'Pricing (Drugs) SS'!$A:$A,0))</f>
        <v>1mL</v>
      </c>
      <c r="E46" s="188" t="str">
        <f>INDEX('Pricing (Drugs) SS'!$D:$D,MATCH(F46,'Pricing (Drugs) SS'!$A:$A,0))</f>
        <v>0517-1004-25</v>
      </c>
      <c r="F46" s="189">
        <v>1019410</v>
      </c>
      <c r="G46" s="241">
        <f>INDEX('Pricing (Drugs) SS'!$I:$I,MATCH(F46,'Pricing (Drugs) SS'!$A:$A,0))</f>
        <v>5.4391999999999996</v>
      </c>
      <c r="H46" s="241">
        <f t="shared" si="2"/>
        <v>0</v>
      </c>
      <c r="I46" s="190">
        <f>VLOOKUP(F46,'Price Sheet'!$A:$C,3,FALSE)</f>
        <v>32.61</v>
      </c>
      <c r="J46" s="191"/>
      <c r="K46" s="192">
        <f t="shared" si="0"/>
        <v>32.61</v>
      </c>
      <c r="L46" s="192">
        <f t="shared" si="1"/>
        <v>0</v>
      </c>
      <c r="M46" s="193" t="str">
        <f t="shared" si="3"/>
        <v/>
      </c>
      <c r="N46" s="194" t="str">
        <f t="shared" si="4"/>
        <v/>
      </c>
      <c r="O46" s="124" t="str">
        <f t="shared" si="5"/>
        <v/>
      </c>
      <c r="P46" s="124" t="str">
        <f>INDEX('Pricing (Drugs) SS'!$C:$C,MATCH(F46,'Pricing (Drugs) SS'!$A:$A,0))</f>
        <v>ACTIVE</v>
      </c>
      <c r="Q46" s="124" t="str">
        <f>IF(AND($L$23="Extra DEA Req",S46="X"),"SAFE- CONTROLLED",INDEX('Pricing (Drugs) SS'!$G:$G,MATCH(F46,'Pricing (Drugs) SS'!$A:$A,0)))</f>
        <v>DRUG ROOM</v>
      </c>
      <c r="R46" s="195" t="str">
        <f>INDEX('Pricing (Drugs) SS'!$H:$H,MATCH(F46,'Pricing (Drugs) SS'!$A:$A,0))</f>
        <v>Not on List</v>
      </c>
      <c r="S46" s="195" t="str">
        <f>IF(COUNTIFS('Version and Lists'!$F:$F,F46,'Version and Lists'!$G:$G,$M$22)&gt;0,"X","")</f>
        <v/>
      </c>
    </row>
    <row r="47" spans="1:19" ht="15" customHeight="1" x14ac:dyDescent="0.3">
      <c r="A47" s="185">
        <f>INDEX('Cart Formulary Calculator'!$A$12:$A$433,MATCH(F47,'Cart Formulary Calculator'!$F$12:$F$433,0))</f>
        <v>0</v>
      </c>
      <c r="B47" s="186" t="str">
        <f>INDEX('Pricing (Drugs) SS'!$B:$B,MATCH(F47,'Pricing (Drugs) SS'!$A:$A,0))</f>
        <v>ATROPINE SULFATE INJECTION, USP 1mg/mL 1mL VIAL</v>
      </c>
      <c r="C47" s="187" t="str">
        <f>INDEX('Pricing (Drugs) SS'!$E:$E,MATCH(F47,'Pricing (Drugs) SS'!$A:$A,0))</f>
        <v>1mg/mL</v>
      </c>
      <c r="D47" s="188" t="str">
        <f>INDEX('Pricing (Drugs) SS'!$F:$F,MATCH(F47,'Pricing (Drugs) SS'!$A:$A,0))</f>
        <v>1mL</v>
      </c>
      <c r="E47" s="188" t="str">
        <f>INDEX('Pricing (Drugs) SS'!$D:$D,MATCH(F47,'Pricing (Drugs) SS'!$A:$A,0))</f>
        <v>0517-1001-25</v>
      </c>
      <c r="F47" s="189">
        <v>1019400</v>
      </c>
      <c r="G47" s="241">
        <f>INDEX('Pricing (Drugs) SS'!$I:$I,MATCH(F47,'Pricing (Drugs) SS'!$A:$A,0))</f>
        <v>15.26</v>
      </c>
      <c r="H47" s="241">
        <f t="shared" si="2"/>
        <v>0</v>
      </c>
      <c r="I47" s="190">
        <f>VLOOKUP(F47,'Price Sheet'!$A:$C,3,FALSE)</f>
        <v>49.95</v>
      </c>
      <c r="J47" s="191"/>
      <c r="K47" s="192">
        <f t="shared" si="0"/>
        <v>49.95</v>
      </c>
      <c r="L47" s="192">
        <f t="shared" si="1"/>
        <v>0</v>
      </c>
      <c r="M47" s="193" t="str">
        <f t="shared" si="3"/>
        <v/>
      </c>
      <c r="N47" s="194" t="str">
        <f t="shared" si="4"/>
        <v/>
      </c>
      <c r="O47" s="124" t="str">
        <f t="shared" si="5"/>
        <v/>
      </c>
      <c r="P47" s="124" t="str">
        <f>INDEX('Pricing (Drugs) SS'!$C:$C,MATCH(F47,'Pricing (Drugs) SS'!$A:$A,0))</f>
        <v>ACTIVE</v>
      </c>
      <c r="Q47" s="124" t="str">
        <f>IF(AND($L$23="Extra DEA Req",S47="X"),"SAFE- CONTROLLED",INDEX('Pricing (Drugs) SS'!$G:$G,MATCH(F47,'Pricing (Drugs) SS'!$A:$A,0)))</f>
        <v>DRUG ROOM</v>
      </c>
      <c r="R47" s="195" t="str">
        <f>INDEX('Pricing (Drugs) SS'!$H:$H,MATCH(F47,'Pricing (Drugs) SS'!$A:$A,0))</f>
        <v>Not on List</v>
      </c>
      <c r="S47" s="195" t="str">
        <f>IF(COUNTIFS('Version and Lists'!$F:$F,F47,'Version and Lists'!$G:$G,$M$22)&gt;0,"X","")</f>
        <v/>
      </c>
    </row>
    <row r="48" spans="1:19" s="64" customFormat="1" ht="15" customHeight="1" x14ac:dyDescent="0.3">
      <c r="A48" s="185">
        <f>INDEX('Cart Formulary Calculator'!$A$12:$A$433,MATCH(F48,'Cart Formulary Calculator'!$F$12:$F$433,0))</f>
        <v>0</v>
      </c>
      <c r="B48" s="186" t="str">
        <f>INDEX('Pricing (Drugs) SS'!$B:$B,MATCH(F48,'Pricing (Drugs) SS'!$A:$A,0))</f>
        <v>ATROPINE SULFATE INJECTION, USP 8mg/20mL (0.4mg/mL) 20mL VIAL</v>
      </c>
      <c r="C48" s="187" t="str">
        <f>INDEX('Pricing (Drugs) SS'!$E:$E,MATCH(F48,'Pricing (Drugs) SS'!$A:$A,0))</f>
        <v>0.4 mg/mL</v>
      </c>
      <c r="D48" s="188" t="str">
        <f>INDEX('Pricing (Drugs) SS'!$F:$F,MATCH(F48,'Pricing (Drugs) SS'!$A:$A,0))</f>
        <v>20mL</v>
      </c>
      <c r="E48" s="188" t="str">
        <f>INDEX('Pricing (Drugs) SS'!$D:$D,MATCH(F48,'Pricing (Drugs) SS'!$A:$A,0))</f>
        <v>0641-6251-10</v>
      </c>
      <c r="F48" s="189">
        <v>1019420</v>
      </c>
      <c r="G48" s="241">
        <f>INDEX('Pricing (Drugs) SS'!$I:$I,MATCH(F48,'Pricing (Drugs) SS'!$A:$A,0))</f>
        <v>9.5879999999999992</v>
      </c>
      <c r="H48" s="241">
        <f t="shared" si="2"/>
        <v>0</v>
      </c>
      <c r="I48" s="190">
        <f>VLOOKUP(F48,'Price Sheet'!$A:$C,3,FALSE)</f>
        <v>61.02</v>
      </c>
      <c r="J48" s="191"/>
      <c r="K48" s="192">
        <f t="shared" si="0"/>
        <v>61.02</v>
      </c>
      <c r="L48" s="192">
        <f t="shared" si="1"/>
        <v>0</v>
      </c>
      <c r="M48" s="193" t="str">
        <f t="shared" si="3"/>
        <v/>
      </c>
      <c r="N48" s="194" t="str">
        <f t="shared" si="4"/>
        <v/>
      </c>
      <c r="O48" s="124" t="str">
        <f t="shared" si="5"/>
        <v/>
      </c>
      <c r="P48" s="124" t="str">
        <f>INDEX('Pricing (Drugs) SS'!$C:$C,MATCH(F48,'Pricing (Drugs) SS'!$A:$A,0))</f>
        <v>ACTIVE</v>
      </c>
      <c r="Q48" s="124" t="str">
        <f>IF(AND($L$23="Extra DEA Req",S48="X"),"SAFE- CONTROLLED",INDEX('Pricing (Drugs) SS'!$G:$G,MATCH(F48,'Pricing (Drugs) SS'!$A:$A,0)))</f>
        <v>DRUG ROOM</v>
      </c>
      <c r="R48" s="195" t="str">
        <f>INDEX('Pricing (Drugs) SS'!$H:$H,MATCH(F48,'Pricing (Drugs) SS'!$A:$A,0))</f>
        <v>Not on List</v>
      </c>
      <c r="S48" s="195" t="str">
        <f>IF(COUNTIFS('Version and Lists'!$F:$F,F48,'Version and Lists'!$G:$G,$M$22)&gt;0,"X","")</f>
        <v/>
      </c>
    </row>
    <row r="49" spans="1:19" ht="15" customHeight="1" x14ac:dyDescent="0.3">
      <c r="A49" s="185">
        <f>INDEX('Cart Formulary Calculator'!$A$12:$A$433,MATCH(F49,'Cart Formulary Calculator'!$F$12:$F$433,0))</f>
        <v>0</v>
      </c>
      <c r="B49" s="186" t="str">
        <f>INDEX('Pricing (Drugs) SS'!$B:$B,MATCH(F49,'Pricing (Drugs) SS'!$A:$A,0))</f>
        <v>ATROPINE SULFATE INJECTION, USP 1mg/10mL (0.1mg/mL) 10mL SYR</v>
      </c>
      <c r="C49" s="187" t="str">
        <f>INDEX('Pricing (Drugs) SS'!$E:$E,MATCH(F49,'Pricing (Drugs) SS'!$A:$A,0))</f>
        <v>0.1mg/mL</v>
      </c>
      <c r="D49" s="188" t="str">
        <f>INDEX('Pricing (Drugs) SS'!$F:$F,MATCH(F49,'Pricing (Drugs) SS'!$A:$A,0))</f>
        <v>10mL</v>
      </c>
      <c r="E49" s="188" t="str">
        <f>INDEX('Pricing (Drugs) SS'!$D:$D,MATCH(F49,'Pricing (Drugs) SS'!$A:$A,0))</f>
        <v>76329-3340-1</v>
      </c>
      <c r="F49" s="189">
        <v>1015780</v>
      </c>
      <c r="G49" s="241">
        <f>INDEX('Pricing (Drugs) SS'!$I:$I,MATCH(F49,'Pricing (Drugs) SS'!$A:$A,0))</f>
        <v>11.45</v>
      </c>
      <c r="H49" s="241">
        <f t="shared" si="2"/>
        <v>0</v>
      </c>
      <c r="I49" s="190">
        <f>VLOOKUP(F49,'Price Sheet'!$A:$C,3,FALSE)</f>
        <v>53.95</v>
      </c>
      <c r="J49" s="191"/>
      <c r="K49" s="192">
        <f t="shared" si="0"/>
        <v>53.95</v>
      </c>
      <c r="L49" s="192">
        <f t="shared" si="1"/>
        <v>0</v>
      </c>
      <c r="M49" s="193" t="str">
        <f t="shared" si="3"/>
        <v/>
      </c>
      <c r="N49" s="194" t="str">
        <f t="shared" si="4"/>
        <v/>
      </c>
      <c r="O49" s="124" t="str">
        <f t="shared" si="5"/>
        <v/>
      </c>
      <c r="P49" s="124" t="str">
        <f>INDEX('Pricing (Drugs) SS'!$C:$C,MATCH(F49,'Pricing (Drugs) SS'!$A:$A,0))</f>
        <v>ACTIVE</v>
      </c>
      <c r="Q49" s="124" t="str">
        <f>IF(AND($L$23="Extra DEA Req",S49="X"),"SAFE- CONTROLLED",INDEX('Pricing (Drugs) SS'!$G:$G,MATCH(F49,'Pricing (Drugs) SS'!$A:$A,0)))</f>
        <v>DRUG ROOM</v>
      </c>
      <c r="R49" s="195" t="str">
        <f>INDEX('Pricing (Drugs) SS'!$H:$H,MATCH(F49,'Pricing (Drugs) SS'!$A:$A,0))</f>
        <v>Not on List</v>
      </c>
      <c r="S49" s="195" t="str">
        <f>IF(COUNTIFS('Version and Lists'!$F:$F,F49,'Version and Lists'!$G:$G,$M$22)&gt;0,"X","")</f>
        <v/>
      </c>
    </row>
    <row r="50" spans="1:19" ht="15" customHeight="1" x14ac:dyDescent="0.3">
      <c r="A50" s="185">
        <f>INDEX('Cart Formulary Calculator'!$A$12:$A$433,MATCH(F50,'Cart Formulary Calculator'!$F$12:$F$433,0))</f>
        <v>0</v>
      </c>
      <c r="B50" s="186" t="str">
        <f>INDEX('Pricing (Drugs) SS'!$B:$B,MATCH(F50,'Pricing (Drugs) SS'!$A:$A,0))</f>
        <v>SENSORCAINE(R) (BUPIVACAINE HCI AND EPINEPHRINE INJECTION, USP) WITH EPINEPHRINE 1:200,000 (AS BITARTRATE) 0.25% 125mg per 50mL (2.5mg per mL) 50mL VIAL</v>
      </c>
      <c r="C50" s="187" t="str">
        <f>INDEX('Pricing (Drugs) SS'!$E:$E,MATCH(F50,'Pricing (Drugs) SS'!$A:$A,0))</f>
        <v>2.5mg/mL</v>
      </c>
      <c r="D50" s="188" t="str">
        <f>INDEX('Pricing (Drugs) SS'!$F:$F,MATCH(F50,'Pricing (Drugs) SS'!$A:$A,0))</f>
        <v>50mL</v>
      </c>
      <c r="E50" s="188" t="str">
        <f>INDEX('Pricing (Drugs) SS'!$D:$D,MATCH(F50,'Pricing (Drugs) SS'!$A:$A,0))</f>
        <v>63323-461-57</v>
      </c>
      <c r="F50" s="189">
        <v>1012080</v>
      </c>
      <c r="G50" s="241">
        <f>INDEX('Pricing (Drugs) SS'!$I:$I,MATCH(F50,'Pricing (Drugs) SS'!$A:$A,0))</f>
        <v>19.399999999999999</v>
      </c>
      <c r="H50" s="241">
        <f t="shared" si="2"/>
        <v>0</v>
      </c>
      <c r="I50" s="190">
        <f>VLOOKUP(F50,'Price Sheet'!$A:$C,3,FALSE)</f>
        <v>45.95</v>
      </c>
      <c r="J50" s="191"/>
      <c r="K50" s="192">
        <f t="shared" si="0"/>
        <v>45.95</v>
      </c>
      <c r="L50" s="192">
        <f t="shared" si="1"/>
        <v>0</v>
      </c>
      <c r="M50" s="193" t="str">
        <f t="shared" si="3"/>
        <v/>
      </c>
      <c r="N50" s="194" t="str">
        <f t="shared" si="4"/>
        <v/>
      </c>
      <c r="O50" s="124" t="str">
        <f t="shared" si="5"/>
        <v/>
      </c>
      <c r="P50" s="124" t="str">
        <f>INDEX('Pricing (Drugs) SS'!$C:$C,MATCH(F50,'Pricing (Drugs) SS'!$A:$A,0))</f>
        <v>ACTIVE</v>
      </c>
      <c r="Q50" s="124" t="str">
        <f>IF(AND($L$23="Extra DEA Req",S50="X"),"SAFE- CONTROLLED",INDEX('Pricing (Drugs) SS'!$G:$G,MATCH(F50,'Pricing (Drugs) SS'!$A:$A,0)))</f>
        <v>DRUG ROOM</v>
      </c>
      <c r="R50" s="195" t="str">
        <f>INDEX('Pricing (Drugs) SS'!$H:$H,MATCH(F50,'Pricing (Drugs) SS'!$A:$A,0))</f>
        <v>Not on List</v>
      </c>
      <c r="S50" s="195" t="str">
        <f>IF(COUNTIFS('Version and Lists'!$F:$F,F50,'Version and Lists'!$G:$G,$M$22)&gt;0,"X","")</f>
        <v/>
      </c>
    </row>
    <row r="51" spans="1:19" ht="15" customHeight="1" x14ac:dyDescent="0.3">
      <c r="A51" s="185">
        <f>INDEX('Cart Formulary Calculator'!$A$12:$A$433,MATCH(F51,'Cart Formulary Calculator'!$F$12:$F$433,0))</f>
        <v>0</v>
      </c>
      <c r="B51" s="186" t="str">
        <f>INDEX('Pricing (Drugs) SS'!$B:$B,MATCH(F51,'Pricing (Drugs) SS'!$A:$A,0))</f>
        <v>0.5% BUPIVACAINE HYDROCHLORIDE INJECTION, USP (5 mg/mL) 50 mL MDV</v>
      </c>
      <c r="C51" s="187" t="str">
        <f>INDEX('Pricing (Drugs) SS'!$E:$E,MATCH(F51,'Pricing (Drugs) SS'!$A:$A,0))</f>
        <v>5mg/mL</v>
      </c>
      <c r="D51" s="188" t="str">
        <f>INDEX('Pricing (Drugs) SS'!$F:$F,MATCH(F51,'Pricing (Drugs) SS'!$A:$A,0))</f>
        <v>50 mL</v>
      </c>
      <c r="E51" s="188" t="str">
        <f>INDEX('Pricing (Drugs) SS'!$D:$D,MATCH(F51,'Pricing (Drugs) SS'!$A:$A,0))</f>
        <v>0409-1163-01</v>
      </c>
      <c r="F51" s="189">
        <v>1011870</v>
      </c>
      <c r="G51" s="241">
        <f>INDEX('Pricing (Drugs) SS'!$I:$I,MATCH(F51,'Pricing (Drugs) SS'!$A:$A,0))</f>
        <v>2.66</v>
      </c>
      <c r="H51" s="241">
        <f t="shared" si="2"/>
        <v>0</v>
      </c>
      <c r="I51" s="190">
        <f>VLOOKUP(F51,'Price Sheet'!$A:$C,3,FALSE)</f>
        <v>9.1999999999999993</v>
      </c>
      <c r="J51" s="191"/>
      <c r="K51" s="192">
        <f t="shared" si="0"/>
        <v>9.1999999999999993</v>
      </c>
      <c r="L51" s="192">
        <f t="shared" si="1"/>
        <v>0</v>
      </c>
      <c r="M51" s="193" t="str">
        <f t="shared" si="3"/>
        <v/>
      </c>
      <c r="N51" s="194" t="str">
        <f t="shared" si="4"/>
        <v/>
      </c>
      <c r="O51" s="124" t="str">
        <f t="shared" si="5"/>
        <v/>
      </c>
      <c r="P51" s="124" t="str">
        <f>INDEX('Pricing (Drugs) SS'!$C:$C,MATCH(F51,'Pricing (Drugs) SS'!$A:$A,0))</f>
        <v>ACTIVE</v>
      </c>
      <c r="Q51" s="124" t="str">
        <f>IF(AND($L$23="Extra DEA Req",S51="X"),"SAFE- CONTROLLED",INDEX('Pricing (Drugs) SS'!$G:$G,MATCH(F51,'Pricing (Drugs) SS'!$A:$A,0)))</f>
        <v>DRUG ROOM</v>
      </c>
      <c r="R51" s="195" t="str">
        <f>INDEX('Pricing (Drugs) SS'!$H:$H,MATCH(F51,'Pricing (Drugs) SS'!$A:$A,0))</f>
        <v>Not on List</v>
      </c>
      <c r="S51" s="195" t="str">
        <f>IF(COUNTIFS('Version and Lists'!$F:$F,F51,'Version and Lists'!$G:$G,$M$22)&gt;0,"X","")</f>
        <v/>
      </c>
    </row>
    <row r="52" spans="1:19" s="197" customFormat="1" ht="15" customHeight="1" x14ac:dyDescent="0.3">
      <c r="A52" s="185">
        <f>INDEX('Cart Formulary Calculator'!$A$12:$A$433,MATCH(F52,'Cart Formulary Calculator'!$F$12:$F$433,0))</f>
        <v>0</v>
      </c>
      <c r="B52" s="186" t="str">
        <f>INDEX('Pricing (Drugs) SS'!$B:$B,MATCH(F52,'Pricing (Drugs) SS'!$A:$A,0))</f>
        <v>SENSORCAINE(R) (BUPIVACAINE HCI AND EPINEPHRINE INJECTION, USP) WITH EPINEPHRINE 1:200,000 (AS BITARTRATE) 0.5% 250mg per 50mL (5mg per mL) 50mL VIAL</v>
      </c>
      <c r="C52" s="187" t="str">
        <f>INDEX('Pricing (Drugs) SS'!$E:$E,MATCH(F52,'Pricing (Drugs) SS'!$A:$A,0))</f>
        <v>5mg/mL</v>
      </c>
      <c r="D52" s="188" t="str">
        <f>INDEX('Pricing (Drugs) SS'!$F:$F,MATCH(F52,'Pricing (Drugs) SS'!$A:$A,0))</f>
        <v>50mL</v>
      </c>
      <c r="E52" s="188" t="str">
        <f>INDEX('Pricing (Drugs) SS'!$D:$D,MATCH(F52,'Pricing (Drugs) SS'!$A:$A,0))</f>
        <v>63323-463-57</v>
      </c>
      <c r="F52" s="189">
        <v>1012090</v>
      </c>
      <c r="G52" s="241">
        <f>INDEX('Pricing (Drugs) SS'!$I:$I,MATCH(F52,'Pricing (Drugs) SS'!$A:$A,0))</f>
        <v>20.77</v>
      </c>
      <c r="H52" s="241">
        <f t="shared" si="2"/>
        <v>0</v>
      </c>
      <c r="I52" s="190">
        <f>VLOOKUP(F52,'Price Sheet'!$A:$C,3,FALSE)</f>
        <v>45.95</v>
      </c>
      <c r="J52" s="191"/>
      <c r="K52" s="192">
        <f t="shared" si="0"/>
        <v>45.95</v>
      </c>
      <c r="L52" s="192">
        <f t="shared" si="1"/>
        <v>0</v>
      </c>
      <c r="M52" s="193" t="str">
        <f t="shared" si="3"/>
        <v/>
      </c>
      <c r="N52" s="194" t="str">
        <f t="shared" si="4"/>
        <v/>
      </c>
      <c r="O52" s="124" t="str">
        <f t="shared" si="5"/>
        <v/>
      </c>
      <c r="P52" s="124" t="str">
        <f>INDEX('Pricing (Drugs) SS'!$C:$C,MATCH(F52,'Pricing (Drugs) SS'!$A:$A,0))</f>
        <v>ACTIVE</v>
      </c>
      <c r="Q52" s="124" t="str">
        <f>IF(AND($L$23="Extra DEA Req",S52="X"),"SAFE- CONTROLLED",INDEX('Pricing (Drugs) SS'!$G:$G,MATCH(F52,'Pricing (Drugs) SS'!$A:$A,0)))</f>
        <v>DRUG ROOM</v>
      </c>
      <c r="R52" s="195" t="str">
        <f>INDEX('Pricing (Drugs) SS'!$H:$H,MATCH(F52,'Pricing (Drugs) SS'!$A:$A,0))</f>
        <v>Not on List</v>
      </c>
      <c r="S52" s="195" t="str">
        <f>IF(COUNTIFS('Version and Lists'!$F:$F,F52,'Version and Lists'!$G:$G,$M$22)&gt;0,"X","")</f>
        <v/>
      </c>
    </row>
    <row r="53" spans="1:19" ht="15" customHeight="1" x14ac:dyDescent="0.3">
      <c r="A53" s="185">
        <f>INDEX('Cart Formulary Calculator'!$A$12:$A$433,MATCH(F53,'Cart Formulary Calculator'!$F$12:$F$433,0))</f>
        <v>0</v>
      </c>
      <c r="B53" s="186" t="str">
        <f>INDEX('Pricing (Drugs) SS'!$B:$B,MATCH(F53,'Pricing (Drugs) SS'!$A:$A,0))</f>
        <v>10% CALCIUM CHLORIDE INJECTION, USP 1 g/10 mL (100 mg/ mL) (1.4 mEq/mL) LUER-JET™ SYR</v>
      </c>
      <c r="C53" s="187" t="str">
        <f>INDEX('Pricing (Drugs) SS'!$E:$E,MATCH(F53,'Pricing (Drugs) SS'!$A:$A,0))</f>
        <v>100 mg/1 mL</v>
      </c>
      <c r="D53" s="188" t="str">
        <f>INDEX('Pricing (Drugs) SS'!$F:$F,MATCH(F53,'Pricing (Drugs) SS'!$A:$A,0))</f>
        <v>10 mL</v>
      </c>
      <c r="E53" s="188" t="str">
        <f>INDEX('Pricing (Drugs) SS'!$D:$D,MATCH(F53,'Pricing (Drugs) SS'!$A:$A,0))</f>
        <v>76329-3304-1</v>
      </c>
      <c r="F53" s="189">
        <v>1012300</v>
      </c>
      <c r="G53" s="241">
        <f>INDEX('Pricing (Drugs) SS'!$I:$I,MATCH(F53,'Pricing (Drugs) SS'!$A:$A,0))</f>
        <v>10.5</v>
      </c>
      <c r="H53" s="241">
        <f t="shared" si="2"/>
        <v>0</v>
      </c>
      <c r="I53" s="190">
        <f>VLOOKUP(F53,'Price Sheet'!$A:$C,3,FALSE)</f>
        <v>49.97</v>
      </c>
      <c r="J53" s="191"/>
      <c r="K53" s="192">
        <f t="shared" si="0"/>
        <v>49.97</v>
      </c>
      <c r="L53" s="192">
        <f t="shared" si="1"/>
        <v>0</v>
      </c>
      <c r="M53" s="193" t="str">
        <f t="shared" si="3"/>
        <v/>
      </c>
      <c r="N53" s="194" t="str">
        <f t="shared" si="4"/>
        <v/>
      </c>
      <c r="O53" s="124" t="str">
        <f t="shared" si="5"/>
        <v/>
      </c>
      <c r="P53" s="124" t="str">
        <f>INDEX('Pricing (Drugs) SS'!$C:$C,MATCH(F53,'Pricing (Drugs) SS'!$A:$A,0))</f>
        <v>ACTIVE</v>
      </c>
      <c r="Q53" s="124" t="str">
        <f>IF(AND($L$23="Extra DEA Req",S53="X"),"SAFE- CONTROLLED",INDEX('Pricing (Drugs) SS'!$G:$G,MATCH(F53,'Pricing (Drugs) SS'!$A:$A,0)))</f>
        <v>DRUG ROOM</v>
      </c>
      <c r="R53" s="195" t="str">
        <f>INDEX('Pricing (Drugs) SS'!$H:$H,MATCH(F53,'Pricing (Drugs) SS'!$A:$A,0))</f>
        <v>Not on List</v>
      </c>
      <c r="S53" s="195" t="str">
        <f>IF(COUNTIFS('Version and Lists'!$F:$F,F53,'Version and Lists'!$G:$G,$M$22)&gt;0,"X","")</f>
        <v/>
      </c>
    </row>
    <row r="54" spans="1:19" ht="15" customHeight="1" x14ac:dyDescent="0.3">
      <c r="A54" s="185">
        <f>INDEX('Cart Formulary Calculator'!$A$12:$A$433,MATCH(F54,'Cart Formulary Calculator'!$F$12:$F$433,0))</f>
        <v>0</v>
      </c>
      <c r="B54" s="186" t="str">
        <f>INDEX('Pricing (Drugs) SS'!$B:$B,MATCH(F54,'Pricing (Drugs) SS'!$A:$A,0))</f>
        <v>10% CALCIUM CHLORIDE INJECTION, USP 1000mg/10mL (100mg/mL) SYR</v>
      </c>
      <c r="C54" s="187" t="str">
        <f>INDEX('Pricing (Drugs) SS'!$E:$E,MATCH(F54,'Pricing (Drugs) SS'!$A:$A,0))</f>
        <v>100mg/mL</v>
      </c>
      <c r="D54" s="188" t="str">
        <f>INDEX('Pricing (Drugs) SS'!$F:$F,MATCH(F54,'Pricing (Drugs) SS'!$A:$A,0))</f>
        <v>10mL</v>
      </c>
      <c r="E54" s="188" t="str">
        <f>INDEX('Pricing (Drugs) SS'!$D:$D,MATCH(F54,'Pricing (Drugs) SS'!$A:$A,0))</f>
        <v>0409-1631-10</v>
      </c>
      <c r="F54" s="189">
        <v>1012720</v>
      </c>
      <c r="G54" s="241">
        <f>INDEX('Pricing (Drugs) SS'!$I:$I,MATCH(F54,'Pricing (Drugs) SS'!$A:$A,0))</f>
        <v>13.872</v>
      </c>
      <c r="H54" s="241">
        <f t="shared" si="2"/>
        <v>0</v>
      </c>
      <c r="I54" s="190">
        <f>VLOOKUP(F54,'Price Sheet'!$A:$C,3,FALSE)</f>
        <v>49.97</v>
      </c>
      <c r="J54" s="191"/>
      <c r="K54" s="192">
        <f t="shared" si="0"/>
        <v>49.97</v>
      </c>
      <c r="L54" s="192">
        <f t="shared" si="1"/>
        <v>0</v>
      </c>
      <c r="M54" s="193" t="str">
        <f t="shared" si="3"/>
        <v/>
      </c>
      <c r="N54" s="194" t="str">
        <f t="shared" si="4"/>
        <v/>
      </c>
      <c r="O54" s="124" t="str">
        <f t="shared" si="5"/>
        <v/>
      </c>
      <c r="P54" s="124" t="str">
        <f>INDEX('Pricing (Drugs) SS'!$C:$C,MATCH(F54,'Pricing (Drugs) SS'!$A:$A,0))</f>
        <v>ACTIVE</v>
      </c>
      <c r="Q54" s="124" t="str">
        <f>IF(AND($L$23="Extra DEA Req",S54="X"),"SAFE- CONTROLLED",INDEX('Pricing (Drugs) SS'!$G:$G,MATCH(F54,'Pricing (Drugs) SS'!$A:$A,0)))</f>
        <v>DRUG ROOM</v>
      </c>
      <c r="R54" s="195" t="str">
        <f>INDEX('Pricing (Drugs) SS'!$H:$H,MATCH(F54,'Pricing (Drugs) SS'!$A:$A,0))</f>
        <v>Not on List</v>
      </c>
      <c r="S54" s="195" t="str">
        <f>IF(COUNTIFS('Version and Lists'!$F:$F,F54,'Version and Lists'!$G:$G,$M$22)&gt;0,"X","")</f>
        <v/>
      </c>
    </row>
    <row r="55" spans="1:19" ht="15" customHeight="1" x14ac:dyDescent="0.3">
      <c r="A55" s="185">
        <f>INDEX('Cart Formulary Calculator'!$A$12:$A$433,MATCH(F55,'Cart Formulary Calculator'!$F$12:$F$433,0))</f>
        <v>0</v>
      </c>
      <c r="B55" s="186" t="str">
        <f>INDEX('Pricing (Drugs) SS'!$B:$B,MATCH(F55,'Pricing (Drugs) SS'!$A:$A,0))</f>
        <v>CALCIUM GLUCONATE INJECTION, USP 10% 1,000 mg per 10mL  (100mg/mL) 10mL VIAL</v>
      </c>
      <c r="C55" s="187" t="str">
        <f>INDEX('Pricing (Drugs) SS'!$E:$E,MATCH(F55,'Pricing (Drugs) SS'!$A:$A,0))</f>
        <v>100mg/mL</v>
      </c>
      <c r="D55" s="188" t="str">
        <f>INDEX('Pricing (Drugs) SS'!$F:$F,MATCH(F55,'Pricing (Drugs) SS'!$A:$A,0))</f>
        <v>10mL</v>
      </c>
      <c r="E55" s="188" t="str">
        <f>INDEX('Pricing (Drugs) SS'!$D:$D,MATCH(F55,'Pricing (Drugs) SS'!$A:$A,0))</f>
        <v>63323-360-19</v>
      </c>
      <c r="F55" s="189">
        <v>1009700</v>
      </c>
      <c r="G55" s="241">
        <f>INDEX('Pricing (Drugs) SS'!$I:$I,MATCH(F55,'Pricing (Drugs) SS'!$A:$A,0))</f>
        <v>11.42</v>
      </c>
      <c r="H55" s="241">
        <f t="shared" si="2"/>
        <v>0</v>
      </c>
      <c r="I55" s="190">
        <f>VLOOKUP(F55,'Price Sheet'!$A:$C,3,FALSE)</f>
        <v>39.36</v>
      </c>
      <c r="J55" s="191"/>
      <c r="K55" s="192">
        <f t="shared" si="0"/>
        <v>39.36</v>
      </c>
      <c r="L55" s="192">
        <f t="shared" si="1"/>
        <v>0</v>
      </c>
      <c r="M55" s="193" t="str">
        <f t="shared" si="3"/>
        <v/>
      </c>
      <c r="N55" s="194" t="str">
        <f t="shared" si="4"/>
        <v/>
      </c>
      <c r="O55" s="124" t="str">
        <f t="shared" si="5"/>
        <v/>
      </c>
      <c r="P55" s="124" t="str">
        <f>INDEX('Pricing (Drugs) SS'!$C:$C,MATCH(F55,'Pricing (Drugs) SS'!$A:$A,0))</f>
        <v>ACTIVE</v>
      </c>
      <c r="Q55" s="124" t="str">
        <f>IF(AND($L$23="Extra DEA Req",S55="X"),"SAFE- CONTROLLED",INDEX('Pricing (Drugs) SS'!$G:$G,MATCH(F55,'Pricing (Drugs) SS'!$A:$A,0)))</f>
        <v>DRUG ROOM</v>
      </c>
      <c r="R55" s="195" t="str">
        <f>INDEX('Pricing (Drugs) SS'!$H:$H,MATCH(F55,'Pricing (Drugs) SS'!$A:$A,0))</f>
        <v>Not on List</v>
      </c>
      <c r="S55" s="195" t="str">
        <f>IF(COUNTIFS('Version and Lists'!$F:$F,F55,'Version and Lists'!$G:$G,$M$22)&gt;0,"X","")</f>
        <v/>
      </c>
    </row>
    <row r="56" spans="1:19" ht="15" customHeight="1" x14ac:dyDescent="0.3">
      <c r="A56" s="185">
        <f>INDEX('Cart Formulary Calculator'!$A$12:$A$433,MATCH(F56,'Cart Formulary Calculator'!$F$12:$F$433,0))</f>
        <v>0</v>
      </c>
      <c r="B56" s="186" t="str">
        <f>INDEX('Pricing (Drugs) SS'!$B:$B,MATCH(F56,'Pricing (Drugs) SS'!$A:$A,0))</f>
        <v>CHLORAPREP® SINGLE SWABSTICK 1.75mL</v>
      </c>
      <c r="C56" s="187" t="str">
        <f>INDEX('Pricing (Drugs) SS'!$E:$E,MATCH(F56,'Pricing (Drugs) SS'!$A:$A,0))</f>
        <v>1.75mL</v>
      </c>
      <c r="D56" s="188" t="str">
        <f>INDEX('Pricing (Drugs) SS'!$F:$F,MATCH(F56,'Pricing (Drugs) SS'!$A:$A,0))</f>
        <v>Swabstick</v>
      </c>
      <c r="E56" s="188" t="str">
        <f>INDEX('Pricing (Drugs) SS'!$D:$D,MATCH(F56,'Pricing (Drugs) SS'!$A:$A,0))</f>
        <v>54365-401-28</v>
      </c>
      <c r="F56" s="189">
        <v>1024650</v>
      </c>
      <c r="G56" s="241">
        <f>INDEX('Pricing (Drugs) SS'!$I:$I,MATCH(F56,'Pricing (Drugs) SS'!$A:$A,0))</f>
        <v>1.0249999999999999</v>
      </c>
      <c r="H56" s="241">
        <f t="shared" si="2"/>
        <v>0</v>
      </c>
      <c r="I56" s="190">
        <f>VLOOKUP(F56,'Price Sheet'!$A:$C,3,FALSE)</f>
        <v>6.15</v>
      </c>
      <c r="J56" s="191"/>
      <c r="K56" s="192">
        <f t="shared" si="0"/>
        <v>6.15</v>
      </c>
      <c r="L56" s="192">
        <f t="shared" si="1"/>
        <v>0</v>
      </c>
      <c r="M56" s="193" t="str">
        <f t="shared" si="3"/>
        <v/>
      </c>
      <c r="N56" s="194" t="str">
        <f t="shared" si="4"/>
        <v/>
      </c>
      <c r="O56" s="124" t="str">
        <f t="shared" si="5"/>
        <v/>
      </c>
      <c r="P56" s="124" t="str">
        <f>INDEX('Pricing (Drugs) SS'!$C:$C,MATCH(F56,'Pricing (Drugs) SS'!$A:$A,0))</f>
        <v>ACTIVE</v>
      </c>
      <c r="Q56" s="124" t="str">
        <f>IF(AND($L$23="Extra DEA Req",S56="X"),"SAFE- CONTROLLED",INDEX('Pricing (Drugs) SS'!$G:$G,MATCH(F56,'Pricing (Drugs) SS'!$A:$A,0)))</f>
        <v>DRUG ROOM</v>
      </c>
      <c r="R56" s="195" t="str">
        <f>INDEX('Pricing (Drugs) SS'!$H:$H,MATCH(F56,'Pricing (Drugs) SS'!$A:$A,0))</f>
        <v>Not on List</v>
      </c>
      <c r="S56" s="195" t="str">
        <f>IF(COUNTIFS('Version and Lists'!$F:$F,F56,'Version and Lists'!$G:$G,$M$22)&gt;0,"X","")</f>
        <v/>
      </c>
    </row>
    <row r="57" spans="1:19" ht="15" customHeight="1" x14ac:dyDescent="0.3">
      <c r="A57" s="185">
        <f>INDEX('Cart Formulary Calculator'!$A$12:$A$433,MATCH(F57,'Cart Formulary Calculator'!$F$12:$F$433,0))</f>
        <v>0</v>
      </c>
      <c r="B57" s="186" t="str">
        <f>INDEX('Pricing (Drugs) SS'!$B:$B,MATCH(F57,'Pricing (Drugs) SS'!$A:$A,0))</f>
        <v>DEXAMETHASONE SODIUM PHOSPHATE INJECTION, USP 10mg/mL 1mL VIAL</v>
      </c>
      <c r="C57" s="187" t="str">
        <f>INDEX('Pricing (Drugs) SS'!$E:$E,MATCH(F57,'Pricing (Drugs) SS'!$A:$A,0))</f>
        <v>10mg/mL</v>
      </c>
      <c r="D57" s="188" t="str">
        <f>INDEX('Pricing (Drugs) SS'!$F:$F,MATCH(F57,'Pricing (Drugs) SS'!$A:$A,0))</f>
        <v>1 mL</v>
      </c>
      <c r="E57" s="188" t="str">
        <f>INDEX('Pricing (Drugs) SS'!$D:$D,MATCH(F57,'Pricing (Drugs) SS'!$A:$A,0))</f>
        <v>0641-0367-25</v>
      </c>
      <c r="F57" s="189">
        <v>1010160</v>
      </c>
      <c r="G57" s="241">
        <f>INDEX('Pricing (Drugs) SS'!$I:$I,MATCH(F57,'Pricing (Drugs) SS'!$A:$A,0))</f>
        <v>0.76680000000000004</v>
      </c>
      <c r="H57" s="241">
        <f t="shared" si="2"/>
        <v>0</v>
      </c>
      <c r="I57" s="190">
        <f>VLOOKUP(F57,'Price Sheet'!$A:$C,3,FALSE)</f>
        <v>8.99</v>
      </c>
      <c r="J57" s="191"/>
      <c r="K57" s="192">
        <f t="shared" si="0"/>
        <v>8.99</v>
      </c>
      <c r="L57" s="192">
        <f t="shared" si="1"/>
        <v>0</v>
      </c>
      <c r="M57" s="193" t="str">
        <f t="shared" si="3"/>
        <v/>
      </c>
      <c r="N57" s="194" t="str">
        <f t="shared" si="4"/>
        <v/>
      </c>
      <c r="O57" s="124" t="str">
        <f t="shared" si="5"/>
        <v/>
      </c>
      <c r="P57" s="124" t="str">
        <f>INDEX('Pricing (Drugs) SS'!$C:$C,MATCH(F57,'Pricing (Drugs) SS'!$A:$A,0))</f>
        <v>ACTIVE</v>
      </c>
      <c r="Q57" s="124" t="str">
        <f>IF(AND($L$23="Extra DEA Req",S57="X"),"SAFE- CONTROLLED",INDEX('Pricing (Drugs) SS'!$G:$G,MATCH(F57,'Pricing (Drugs) SS'!$A:$A,0)))</f>
        <v>DRUG ROOM</v>
      </c>
      <c r="R57" s="195" t="str">
        <f>INDEX('Pricing (Drugs) SS'!$H:$H,MATCH(F57,'Pricing (Drugs) SS'!$A:$A,0))</f>
        <v>Not on List</v>
      </c>
      <c r="S57" s="195" t="str">
        <f>IF(COUNTIFS('Version and Lists'!$F:$F,F57,'Version and Lists'!$G:$G,$M$22)&gt;0,"X","")</f>
        <v/>
      </c>
    </row>
    <row r="58" spans="1:19" ht="15" customHeight="1" x14ac:dyDescent="0.3">
      <c r="A58" s="185">
        <f>INDEX('Cart Formulary Calculator'!$A$12:$A$433,MATCH(F58,'Cart Formulary Calculator'!$F$12:$F$433,0))</f>
        <v>0</v>
      </c>
      <c r="B58" s="186" t="str">
        <f>INDEX('Pricing (Drugs) SS'!$B:$B,MATCH(F58,'Pricing (Drugs) SS'!$A:$A,0))</f>
        <v>DEXAMETHASONE SODIUM PHOSPHATE INJECTION USP 100mg PER 10mL(10mg/mL*) 10mL VIAL</v>
      </c>
      <c r="C58" s="187" t="str">
        <f>INDEX('Pricing (Drugs) SS'!$E:$E,MATCH(F58,'Pricing (Drugs) SS'!$A:$A,0))</f>
        <v>10mg/mL</v>
      </c>
      <c r="D58" s="188" t="str">
        <f>INDEX('Pricing (Drugs) SS'!$F:$F,MATCH(F58,'Pricing (Drugs) SS'!$A:$A,0))</f>
        <v>10mL</v>
      </c>
      <c r="E58" s="188" t="str">
        <f>INDEX('Pricing (Drugs) SS'!$D:$D,MATCH(F58,'Pricing (Drugs) SS'!$A:$A,0))</f>
        <v>55150-305-10</v>
      </c>
      <c r="F58" s="189">
        <v>1016140</v>
      </c>
      <c r="G58" s="241">
        <f>INDEX('Pricing (Drugs) SS'!$I:$I,MATCH(F58,'Pricing (Drugs) SS'!$A:$A,0))</f>
        <v>4.0999999999999996</v>
      </c>
      <c r="H58" s="241">
        <f t="shared" si="2"/>
        <v>0</v>
      </c>
      <c r="I58" s="190">
        <f>VLOOKUP(F58,'Price Sheet'!$A:$C,3,FALSE)</f>
        <v>11.99</v>
      </c>
      <c r="J58" s="191"/>
      <c r="K58" s="192">
        <f t="shared" si="0"/>
        <v>11.99</v>
      </c>
      <c r="L58" s="192">
        <f t="shared" si="1"/>
        <v>0</v>
      </c>
      <c r="M58" s="193" t="str">
        <f t="shared" si="3"/>
        <v/>
      </c>
      <c r="N58" s="194" t="str">
        <f t="shared" si="4"/>
        <v/>
      </c>
      <c r="O58" s="124" t="str">
        <f t="shared" si="5"/>
        <v/>
      </c>
      <c r="P58" s="124" t="str">
        <f>INDEX('Pricing (Drugs) SS'!$C:$C,MATCH(F58,'Pricing (Drugs) SS'!$A:$A,0))</f>
        <v>ACTIVE</v>
      </c>
      <c r="Q58" s="124" t="str">
        <f>IF(AND($L$23="Extra DEA Req",S58="X"),"SAFE- CONTROLLED",INDEX('Pricing (Drugs) SS'!$G:$G,MATCH(F58,'Pricing (Drugs) SS'!$A:$A,0)))</f>
        <v>DRUG ROOM</v>
      </c>
      <c r="R58" s="195" t="str">
        <f>INDEX('Pricing (Drugs) SS'!$H:$H,MATCH(F58,'Pricing (Drugs) SS'!$A:$A,0))</f>
        <v>Not on List</v>
      </c>
      <c r="S58" s="195" t="str">
        <f>IF(COUNTIFS('Version and Lists'!$F:$F,F58,'Version and Lists'!$G:$G,$M$22)&gt;0,"X","")</f>
        <v/>
      </c>
    </row>
    <row r="59" spans="1:19" ht="15" customHeight="1" x14ac:dyDescent="0.3">
      <c r="A59" s="185">
        <f>INDEX('Cart Formulary Calculator'!$A$12:$A$433,MATCH(F59,'Cart Formulary Calculator'!$F$12:$F$433,0))</f>
        <v>0</v>
      </c>
      <c r="B59" s="186" t="str">
        <f>INDEX('Pricing (Drugs) SS'!$B:$B,MATCH(F59,'Pricing (Drugs) SS'!$A:$A,0))</f>
        <v>DEXAMETHASONE SODIUM PHOSPHATE INJECTION, USP 20mg/5mL (4mg/mL) 5mL VIAL</v>
      </c>
      <c r="C59" s="187" t="str">
        <f>INDEX('Pricing (Drugs) SS'!$E:$E,MATCH(F59,'Pricing (Drugs) SS'!$A:$A,0))</f>
        <v>4mg/mL</v>
      </c>
      <c r="D59" s="188" t="str">
        <f>INDEX('Pricing (Drugs) SS'!$F:$F,MATCH(F59,'Pricing (Drugs) SS'!$A:$A,0))</f>
        <v>5mL</v>
      </c>
      <c r="E59" s="188" t="str">
        <f>INDEX('Pricing (Drugs) SS'!$D:$D,MATCH(F59,'Pricing (Drugs) SS'!$A:$A,0))</f>
        <v>0641-6146-10</v>
      </c>
      <c r="F59" s="189">
        <v>1022730</v>
      </c>
      <c r="G59" s="241">
        <f>INDEX('Pricing (Drugs) SS'!$I:$I,MATCH(F59,'Pricing (Drugs) SS'!$A:$A,0))</f>
        <v>0.70299999999999996</v>
      </c>
      <c r="H59" s="241">
        <f t="shared" si="2"/>
        <v>0</v>
      </c>
      <c r="I59" s="190">
        <f>VLOOKUP(F59,'Price Sheet'!$A:$C,3,FALSE)</f>
        <v>9.99</v>
      </c>
      <c r="J59" s="191"/>
      <c r="K59" s="192">
        <f t="shared" si="0"/>
        <v>9.99</v>
      </c>
      <c r="L59" s="192">
        <f t="shared" si="1"/>
        <v>0</v>
      </c>
      <c r="M59" s="193" t="str">
        <f t="shared" si="3"/>
        <v/>
      </c>
      <c r="N59" s="194" t="str">
        <f t="shared" si="4"/>
        <v/>
      </c>
      <c r="O59" s="124" t="str">
        <f t="shared" si="5"/>
        <v/>
      </c>
      <c r="P59" s="124" t="str">
        <f>INDEX('Pricing (Drugs) SS'!$C:$C,MATCH(F59,'Pricing (Drugs) SS'!$A:$A,0))</f>
        <v>ACTIVE</v>
      </c>
      <c r="Q59" s="124" t="str">
        <f>IF(AND($L$23="Extra DEA Req",S59="X"),"SAFE- CONTROLLED",INDEX('Pricing (Drugs) SS'!$G:$G,MATCH(F59,'Pricing (Drugs) SS'!$A:$A,0)))</f>
        <v>DRUG ROOM</v>
      </c>
      <c r="R59" s="195" t="str">
        <f>INDEX('Pricing (Drugs) SS'!$H:$H,MATCH(F59,'Pricing (Drugs) SS'!$A:$A,0))</f>
        <v>Not on List</v>
      </c>
      <c r="S59" s="195" t="str">
        <f>IF(COUNTIFS('Version and Lists'!$F:$F,F59,'Version and Lists'!$G:$G,$M$22)&gt;0,"X","")</f>
        <v/>
      </c>
    </row>
    <row r="60" spans="1:19" ht="15" customHeight="1" x14ac:dyDescent="0.3">
      <c r="A60" s="185">
        <f>INDEX('Cart Formulary Calculator'!$A$12:$A$433,MATCH(F60,'Cart Formulary Calculator'!$F$12:$F$433,0))</f>
        <v>0</v>
      </c>
      <c r="B60" s="186" t="str">
        <f>INDEX('Pricing (Drugs) SS'!$B:$B,MATCH(F60,'Pricing (Drugs) SS'!$A:$A,0))</f>
        <v>INFANT 25% DEXTROSE INJECTION, USP 2.5g (250mg/mL) ANSYR SYR</v>
      </c>
      <c r="C60" s="187" t="str">
        <f>INDEX('Pricing (Drugs) SS'!$E:$E,MATCH(F60,'Pricing (Drugs) SS'!$A:$A,0))</f>
        <v>250mg/mL</v>
      </c>
      <c r="D60" s="188" t="str">
        <f>INDEX('Pricing (Drugs) SS'!$F:$F,MATCH(F60,'Pricing (Drugs) SS'!$A:$A,0))</f>
        <v>10mL</v>
      </c>
      <c r="E60" s="188" t="str">
        <f>INDEX('Pricing (Drugs) SS'!$D:$D,MATCH(F60,'Pricing (Drugs) SS'!$A:$A,0))</f>
        <v>0409-1775-10</v>
      </c>
      <c r="F60" s="189">
        <v>1000140</v>
      </c>
      <c r="G60" s="241">
        <f>INDEX('Pricing (Drugs) SS'!$I:$I,MATCH(F60,'Pricing (Drugs) SS'!$A:$A,0))</f>
        <v>24.448</v>
      </c>
      <c r="H60" s="241">
        <f t="shared" si="2"/>
        <v>0</v>
      </c>
      <c r="I60" s="190">
        <f>VLOOKUP(F60,'Price Sheet'!$A:$C,3,FALSE)</f>
        <v>55.95</v>
      </c>
      <c r="J60" s="191"/>
      <c r="K60" s="192">
        <f t="shared" si="0"/>
        <v>55.95</v>
      </c>
      <c r="L60" s="192">
        <f t="shared" si="1"/>
        <v>0</v>
      </c>
      <c r="M60" s="193" t="str">
        <f t="shared" si="3"/>
        <v/>
      </c>
      <c r="N60" s="194" t="str">
        <f t="shared" si="4"/>
        <v/>
      </c>
      <c r="O60" s="124" t="str">
        <f t="shared" si="5"/>
        <v/>
      </c>
      <c r="P60" s="124" t="str">
        <f>INDEX('Pricing (Drugs) SS'!$C:$C,MATCH(F60,'Pricing (Drugs) SS'!$A:$A,0))</f>
        <v>ACTIVE</v>
      </c>
      <c r="Q60" s="124" t="str">
        <f>IF(AND($L$23="Extra DEA Req",S60="X"),"SAFE- CONTROLLED",INDEX('Pricing (Drugs) SS'!$G:$G,MATCH(F60,'Pricing (Drugs) SS'!$A:$A,0)))</f>
        <v>DRUG ROOM</v>
      </c>
      <c r="R60" s="195" t="str">
        <f>INDEX('Pricing (Drugs) SS'!$H:$H,MATCH(F60,'Pricing (Drugs) SS'!$A:$A,0))</f>
        <v>Not on List</v>
      </c>
      <c r="S60" s="195" t="str">
        <f>IF(COUNTIFS('Version and Lists'!$F:$F,F60,'Version and Lists'!$G:$G,$M$22)&gt;0,"X","")</f>
        <v/>
      </c>
    </row>
    <row r="61" spans="1:19" ht="15" customHeight="1" x14ac:dyDescent="0.3">
      <c r="A61" s="185">
        <f>INDEX('Cart Formulary Calculator'!$A$12:$A$433,MATCH(F61,'Cart Formulary Calculator'!$F$12:$F$433,0))</f>
        <v>0</v>
      </c>
      <c r="B61" s="186" t="str">
        <f>INDEX('Pricing (Drugs) SS'!$B:$B,MATCH(F61,'Pricing (Drugs) SS'!$A:$A,0))</f>
        <v>50% DEXTROSE INJECTION, USP 25grams/50mL (0.5g/mL) VIAL</v>
      </c>
      <c r="C61" s="187" t="str">
        <f>INDEX('Pricing (Drugs) SS'!$E:$E,MATCH(F61,'Pricing (Drugs) SS'!$A:$A,0))</f>
        <v>0.5g/mL</v>
      </c>
      <c r="D61" s="188" t="str">
        <f>INDEX('Pricing (Drugs) SS'!$F:$F,MATCH(F61,'Pricing (Drugs) SS'!$A:$A,0))</f>
        <v>50mL</v>
      </c>
      <c r="E61" s="188" t="str">
        <f>INDEX('Pricing (Drugs) SS'!$D:$D,MATCH(F61,'Pricing (Drugs) SS'!$A:$A,0))</f>
        <v>0409-6648-02</v>
      </c>
      <c r="F61" s="189">
        <v>1000160</v>
      </c>
      <c r="G61" s="241">
        <f>INDEX('Pricing (Drugs) SS'!$I:$I,MATCH(F61,'Pricing (Drugs) SS'!$A:$A,0))</f>
        <v>5.8756000000000004</v>
      </c>
      <c r="H61" s="241">
        <f t="shared" si="2"/>
        <v>0</v>
      </c>
      <c r="I61" s="190">
        <f>VLOOKUP(F61,'Price Sheet'!$A:$C,3,FALSE)</f>
        <v>13.95</v>
      </c>
      <c r="J61" s="191"/>
      <c r="K61" s="192">
        <f t="shared" si="0"/>
        <v>13.95</v>
      </c>
      <c r="L61" s="192">
        <f t="shared" si="1"/>
        <v>0</v>
      </c>
      <c r="M61" s="193" t="str">
        <f t="shared" si="3"/>
        <v/>
      </c>
      <c r="N61" s="194" t="str">
        <f t="shared" si="4"/>
        <v/>
      </c>
      <c r="O61" s="124" t="str">
        <f t="shared" si="5"/>
        <v/>
      </c>
      <c r="P61" s="124" t="str">
        <f>INDEX('Pricing (Drugs) SS'!$C:$C,MATCH(F61,'Pricing (Drugs) SS'!$A:$A,0))</f>
        <v>ACTIVE</v>
      </c>
      <c r="Q61" s="124" t="str">
        <f>IF(AND($L$23="Extra DEA Req",S61="X"),"SAFE- CONTROLLED",INDEX('Pricing (Drugs) SS'!$G:$G,MATCH(F61,'Pricing (Drugs) SS'!$A:$A,0)))</f>
        <v>DRUG ROOM</v>
      </c>
      <c r="R61" s="195" t="str">
        <f>INDEX('Pricing (Drugs) SS'!$H:$H,MATCH(F61,'Pricing (Drugs) SS'!$A:$A,0))</f>
        <v>Not on List</v>
      </c>
      <c r="S61" s="195" t="str">
        <f>IF(COUNTIFS('Version and Lists'!$F:$F,F61,'Version and Lists'!$G:$G,$M$22)&gt;0,"X","")</f>
        <v/>
      </c>
    </row>
    <row r="62" spans="1:19" ht="15" customHeight="1" x14ac:dyDescent="0.3">
      <c r="A62" s="185">
        <f>INDEX('Cart Formulary Calculator'!$A$12:$A$433,MATCH(F62,'Cart Formulary Calculator'!$F$12:$F$433,0))</f>
        <v>0</v>
      </c>
      <c r="B62" s="186" t="str">
        <f>INDEX('Pricing (Drugs) SS'!$B:$B,MATCH(F62,'Pricing (Drugs) SS'!$A:$A,0))</f>
        <v>50% DEXTROSE INJECTION, USP 25g/50mL (0.5 g/mL) 50mL LUER-JET™ SYR</v>
      </c>
      <c r="C62" s="187" t="str">
        <f>INDEX('Pricing (Drugs) SS'!$E:$E,MATCH(F62,'Pricing (Drugs) SS'!$A:$A,0))</f>
        <v>0.5 g/mL</v>
      </c>
      <c r="D62" s="188" t="str">
        <f>INDEX('Pricing (Drugs) SS'!$F:$F,MATCH(F62,'Pricing (Drugs) SS'!$A:$A,0))</f>
        <v>50 mL</v>
      </c>
      <c r="E62" s="188" t="str">
        <f>INDEX('Pricing (Drugs) SS'!$D:$D,MATCH(F62,'Pricing (Drugs) SS'!$A:$A,0))</f>
        <v>76329-3302-1</v>
      </c>
      <c r="F62" s="189">
        <v>1017610</v>
      </c>
      <c r="G62" s="241">
        <f>INDEX('Pricing (Drugs) SS'!$I:$I,MATCH(F62,'Pricing (Drugs) SS'!$A:$A,0))</f>
        <v>22.24</v>
      </c>
      <c r="H62" s="241">
        <f t="shared" si="2"/>
        <v>0</v>
      </c>
      <c r="I62" s="190">
        <f>VLOOKUP(F62,'Price Sheet'!$A:$C,3,FALSE)</f>
        <v>55.95</v>
      </c>
      <c r="J62" s="191"/>
      <c r="K62" s="192">
        <f t="shared" si="0"/>
        <v>55.95</v>
      </c>
      <c r="L62" s="192">
        <f t="shared" si="1"/>
        <v>0</v>
      </c>
      <c r="M62" s="193" t="str">
        <f t="shared" si="3"/>
        <v/>
      </c>
      <c r="N62" s="194" t="str">
        <f t="shared" si="4"/>
        <v/>
      </c>
      <c r="O62" s="124" t="str">
        <f t="shared" si="5"/>
        <v/>
      </c>
      <c r="P62" s="124" t="str">
        <f>INDEX('Pricing (Drugs) SS'!$C:$C,MATCH(F62,'Pricing (Drugs) SS'!$A:$A,0))</f>
        <v>ACTIVE</v>
      </c>
      <c r="Q62" s="124" t="str">
        <f>IF(AND($L$23="Extra DEA Req",S62="X"),"SAFE- CONTROLLED",INDEX('Pricing (Drugs) SS'!$G:$G,MATCH(F62,'Pricing (Drugs) SS'!$A:$A,0)))</f>
        <v>DRUG ROOM</v>
      </c>
      <c r="R62" s="195" t="str">
        <f>INDEX('Pricing (Drugs) SS'!$H:$H,MATCH(F62,'Pricing (Drugs) SS'!$A:$A,0))</f>
        <v>Not on List</v>
      </c>
      <c r="S62" s="195" t="str">
        <f>IF(COUNTIFS('Version and Lists'!$F:$F,F62,'Version and Lists'!$G:$G,$M$22)&gt;0,"X","")</f>
        <v/>
      </c>
    </row>
    <row r="63" spans="1:19" ht="15" customHeight="1" x14ac:dyDescent="0.3">
      <c r="A63" s="185">
        <f>INDEX('Cart Formulary Calculator'!$A$12:$A$433,MATCH(F63,'Cart Formulary Calculator'!$F$12:$F$433,0))</f>
        <v>0</v>
      </c>
      <c r="B63" s="186" t="str">
        <f>INDEX('Pricing (Drugs) SS'!$B:$B,MATCH(F63,'Pricing (Drugs) SS'!$A:$A,0))</f>
        <v>5% DEXTROSE INJECTION, USP 250mL BAG</v>
      </c>
      <c r="C63" s="187" t="str">
        <f>INDEX('Pricing (Drugs) SS'!$E:$E,MATCH(F63,'Pricing (Drugs) SS'!$A:$A,0))</f>
        <v>50mg/mL</v>
      </c>
      <c r="D63" s="188" t="str">
        <f>INDEX('Pricing (Drugs) SS'!$F:$F,MATCH(F63,'Pricing (Drugs) SS'!$A:$A,0))</f>
        <v>250mL</v>
      </c>
      <c r="E63" s="188" t="str">
        <f>INDEX('Pricing (Drugs) SS'!$D:$D,MATCH(F63,'Pricing (Drugs) SS'!$A:$A,0))</f>
        <v>0990-7922-02</v>
      </c>
      <c r="F63" s="189">
        <v>1013200</v>
      </c>
      <c r="G63" s="241">
        <f>INDEX('Pricing (Drugs) SS'!$I:$I,MATCH(F63,'Pricing (Drugs) SS'!$A:$A,0))</f>
        <v>3.25</v>
      </c>
      <c r="H63" s="241">
        <f t="shared" si="2"/>
        <v>0</v>
      </c>
      <c r="I63" s="190">
        <f>VLOOKUP(F63,'Price Sheet'!$A:$C,3,FALSE)</f>
        <v>25.99</v>
      </c>
      <c r="J63" s="191"/>
      <c r="K63" s="192">
        <f t="shared" si="0"/>
        <v>25.99</v>
      </c>
      <c r="L63" s="192">
        <f t="shared" si="1"/>
        <v>0</v>
      </c>
      <c r="M63" s="193" t="str">
        <f t="shared" si="3"/>
        <v/>
      </c>
      <c r="N63" s="194" t="str">
        <f t="shared" si="4"/>
        <v/>
      </c>
      <c r="O63" s="124" t="str">
        <f t="shared" si="5"/>
        <v/>
      </c>
      <c r="P63" s="124" t="str">
        <f>INDEX('Pricing (Drugs) SS'!$C:$C,MATCH(F63,'Pricing (Drugs) SS'!$A:$A,0))</f>
        <v>ACTIVE</v>
      </c>
      <c r="Q63" s="124" t="str">
        <f>IF(AND($L$23="Extra DEA Req",S63="X"),"SAFE- CONTROLLED",INDEX('Pricing (Drugs) SS'!$G:$G,MATCH(F63,'Pricing (Drugs) SS'!$A:$A,0)))</f>
        <v>DRUG ROOM</v>
      </c>
      <c r="R63" s="195" t="str">
        <f>INDEX('Pricing (Drugs) SS'!$H:$H,MATCH(F63,'Pricing (Drugs) SS'!$A:$A,0))</f>
        <v>Not on List</v>
      </c>
      <c r="S63" s="195" t="str">
        <f>IF(COUNTIFS('Version and Lists'!$F:$F,F63,'Version and Lists'!$G:$G,$M$22)&gt;0,"X","")</f>
        <v/>
      </c>
    </row>
    <row r="64" spans="1:19" ht="15" customHeight="1" x14ac:dyDescent="0.3">
      <c r="A64" s="185">
        <f>INDEX('Cart Formulary Calculator'!$A$12:$A$433,MATCH(F64,'Cart Formulary Calculator'!$F$12:$F$433,0))</f>
        <v>0</v>
      </c>
      <c r="B64" s="186" t="str">
        <f>INDEX('Pricing (Drugs) SS'!$B:$B,MATCH(F64,'Pricing (Drugs) SS'!$A:$A,0))</f>
        <v>DIGOXIN INJECTION, USP 500mcg/2mL 0.5/2mL (250mcg/mL) AMP</v>
      </c>
      <c r="C64" s="187" t="str">
        <f>INDEX('Pricing (Drugs) SS'!$E:$E,MATCH(F64,'Pricing (Drugs) SS'!$A:$A,0))</f>
        <v>0.25mg/mL</v>
      </c>
      <c r="D64" s="188" t="str">
        <f>INDEX('Pricing (Drugs) SS'!$F:$F,MATCH(F64,'Pricing (Drugs) SS'!$A:$A,0))</f>
        <v>2mL</v>
      </c>
      <c r="E64" s="188" t="str">
        <f>INDEX('Pricing (Drugs) SS'!$D:$D,MATCH(F64,'Pricing (Drugs) SS'!$A:$A,0))</f>
        <v>0641-1410-35</v>
      </c>
      <c r="F64" s="189">
        <v>1000180</v>
      </c>
      <c r="G64" s="241">
        <f>INDEX('Pricing (Drugs) SS'!$I:$I,MATCH(F64,'Pricing (Drugs) SS'!$A:$A,0))</f>
        <v>4.4000000000000004</v>
      </c>
      <c r="H64" s="241">
        <f t="shared" si="2"/>
        <v>0</v>
      </c>
      <c r="I64" s="190">
        <f>VLOOKUP(F64,'Price Sheet'!$A:$C,3,FALSE)</f>
        <v>17.600000000000001</v>
      </c>
      <c r="J64" s="191"/>
      <c r="K64" s="192">
        <f t="shared" si="0"/>
        <v>17.600000000000001</v>
      </c>
      <c r="L64" s="192">
        <f t="shared" si="1"/>
        <v>0</v>
      </c>
      <c r="M64" s="193" t="str">
        <f t="shared" si="3"/>
        <v/>
      </c>
      <c r="N64" s="194" t="str">
        <f t="shared" si="4"/>
        <v/>
      </c>
      <c r="O64" s="124" t="str">
        <f t="shared" si="5"/>
        <v/>
      </c>
      <c r="P64" s="124" t="str">
        <f>INDEX('Pricing (Drugs) SS'!$C:$C,MATCH(F64,'Pricing (Drugs) SS'!$A:$A,0))</f>
        <v>ACTIVE</v>
      </c>
      <c r="Q64" s="124" t="str">
        <f>IF(AND($L$23="Extra DEA Req",S64="X"),"SAFE- CONTROLLED",INDEX('Pricing (Drugs) SS'!$G:$G,MATCH(F64,'Pricing (Drugs) SS'!$A:$A,0)))</f>
        <v>DRUG ROOM</v>
      </c>
      <c r="R64" s="195" t="str">
        <f>INDEX('Pricing (Drugs) SS'!$H:$H,MATCH(F64,'Pricing (Drugs) SS'!$A:$A,0))</f>
        <v>Not on List</v>
      </c>
      <c r="S64" s="195" t="str">
        <f>IF(COUNTIFS('Version and Lists'!$F:$F,F64,'Version and Lists'!$G:$G,$M$22)&gt;0,"X","")</f>
        <v/>
      </c>
    </row>
    <row r="65" spans="1:19" ht="15" customHeight="1" x14ac:dyDescent="0.3">
      <c r="A65" s="185">
        <f>INDEX('Cart Formulary Calculator'!$A$12:$A$433,MATCH(F65,'Cart Formulary Calculator'!$F$12:$F$433,0))</f>
        <v>0</v>
      </c>
      <c r="B65" s="186" t="str">
        <f>INDEX('Pricing (Drugs) SS'!$B:$B,MATCH(F65,'Pricing (Drugs) SS'!$A:$A,0))</f>
        <v>DILTIAZEM HCI INJECTION 25mg/5mL (5 mg/mL) 5mL VIAL</v>
      </c>
      <c r="C65" s="187" t="str">
        <f>INDEX('Pricing (Drugs) SS'!$E:$E,MATCH(F65,'Pricing (Drugs) SS'!$A:$A,0))</f>
        <v>25mg/5mL (5 mg/mL</v>
      </c>
      <c r="D65" s="188" t="str">
        <f>INDEX('Pricing (Drugs) SS'!$F:$F,MATCH(F65,'Pricing (Drugs) SS'!$A:$A,0))</f>
        <v>5mL</v>
      </c>
      <c r="E65" s="188" t="str">
        <f>INDEX('Pricing (Drugs) SS'!$D:$D,MATCH(F65,'Pricing (Drugs) SS'!$A:$A,0))</f>
        <v>0641-6013-10</v>
      </c>
      <c r="F65" s="189">
        <v>1010080</v>
      </c>
      <c r="G65" s="241">
        <f>INDEX('Pricing (Drugs) SS'!$I:$I,MATCH(F65,'Pricing (Drugs) SS'!$A:$A,0))</f>
        <v>3.0779999999999998</v>
      </c>
      <c r="H65" s="241">
        <f t="shared" si="2"/>
        <v>0</v>
      </c>
      <c r="I65" s="190">
        <f>VLOOKUP(F65,'Price Sheet'!$A:$C,3,FALSE)</f>
        <v>19.989999999999998</v>
      </c>
      <c r="J65" s="191"/>
      <c r="K65" s="192">
        <f t="shared" ref="K65:K92" si="6">J65+I65</f>
        <v>19.989999999999998</v>
      </c>
      <c r="L65" s="192">
        <f t="shared" ref="L65:L92" si="7">IFERROR(K65*A65,"")</f>
        <v>0</v>
      </c>
      <c r="M65" s="193" t="str">
        <f t="shared" si="3"/>
        <v>C</v>
      </c>
      <c r="N65" s="194" t="str">
        <f t="shared" si="4"/>
        <v/>
      </c>
      <c r="O65" s="124" t="str">
        <f t="shared" si="5"/>
        <v/>
      </c>
      <c r="P65" s="124" t="str">
        <f>INDEX('Pricing (Drugs) SS'!$C:$C,MATCH(F65,'Pricing (Drugs) SS'!$A:$A,0))</f>
        <v>ACTIVE</v>
      </c>
      <c r="Q65" s="124" t="str">
        <f>IF(AND($L$23="Extra DEA Req",S65="X"),"SAFE- CONTROLLED",INDEX('Pricing (Drugs) SS'!$G:$G,MATCH(F65,'Pricing (Drugs) SS'!$A:$A,0)))</f>
        <v>REFRIGERATED</v>
      </c>
      <c r="R65" s="195" t="str">
        <f>INDEX('Pricing (Drugs) SS'!$H:$H,MATCH(F65,'Pricing (Drugs) SS'!$A:$A,0))</f>
        <v>Not on List</v>
      </c>
      <c r="S65" s="195" t="str">
        <f>IF(COUNTIFS('Version and Lists'!$F:$F,F65,'Version and Lists'!$G:$G,$M$22)&gt;0,"X","")</f>
        <v/>
      </c>
    </row>
    <row r="66" spans="1:19" s="64" customFormat="1" ht="15" customHeight="1" x14ac:dyDescent="0.3">
      <c r="A66" s="185">
        <f>INDEX('Cart Formulary Calculator'!$A$12:$A$433,MATCH(F66,'Cart Formulary Calculator'!$F$12:$F$433,0))</f>
        <v>0</v>
      </c>
      <c r="B66" s="186" t="str">
        <f>INDEX('Pricing (Drugs) SS'!$B:$B,MATCH(F66,'Pricing (Drugs) SS'!$A:$A,0))</f>
        <v>DILTIAZEM HCI FOR INJECTION 100mg/VIAL DILTIAZEM HCl VIAL</v>
      </c>
      <c r="C66" s="187" t="str">
        <f>INDEX('Pricing (Drugs) SS'!$E:$E,MATCH(F66,'Pricing (Drugs) SS'!$A:$A,0))</f>
        <v>100mg/1</v>
      </c>
      <c r="D66" s="188" t="str">
        <f>INDEX('Pricing (Drugs) SS'!$F:$F,MATCH(F66,'Pricing (Drugs) SS'!$A:$A,0))</f>
        <v>15mL</v>
      </c>
      <c r="E66" s="188" t="str">
        <f>INDEX('Pricing (Drugs) SS'!$D:$D,MATCH(F66,'Pricing (Drugs) SS'!$A:$A,0))</f>
        <v>0409-4350-03</v>
      </c>
      <c r="F66" s="189">
        <v>1012770</v>
      </c>
      <c r="G66" s="241">
        <f>INDEX('Pricing (Drugs) SS'!$I:$I,MATCH(F66,'Pricing (Drugs) SS'!$A:$A,0))</f>
        <v>11.411</v>
      </c>
      <c r="H66" s="241">
        <f t="shared" si="2"/>
        <v>0</v>
      </c>
      <c r="I66" s="190">
        <f>VLOOKUP(F66,'Price Sheet'!$A:$C,3,FALSE)</f>
        <v>34.99</v>
      </c>
      <c r="J66" s="191"/>
      <c r="K66" s="192">
        <f t="shared" si="6"/>
        <v>34.99</v>
      </c>
      <c r="L66" s="192">
        <f t="shared" si="7"/>
        <v>0</v>
      </c>
      <c r="M66" s="193" t="str">
        <f t="shared" si="3"/>
        <v/>
      </c>
      <c r="N66" s="194" t="str">
        <f t="shared" si="4"/>
        <v/>
      </c>
      <c r="O66" s="124" t="str">
        <f t="shared" si="5"/>
        <v/>
      </c>
      <c r="P66" s="124" t="str">
        <f>INDEX('Pricing (Drugs) SS'!$C:$C,MATCH(F66,'Pricing (Drugs) SS'!$A:$A,0))</f>
        <v>ACTIVE</v>
      </c>
      <c r="Q66" s="124" t="str">
        <f>IF(AND($L$23="Extra DEA Req",S66="X"),"SAFE- CONTROLLED",INDEX('Pricing (Drugs) SS'!$G:$G,MATCH(F66,'Pricing (Drugs) SS'!$A:$A,0)))</f>
        <v>DRUG ROOM</v>
      </c>
      <c r="R66" s="195" t="str">
        <f>INDEX('Pricing (Drugs) SS'!$H:$H,MATCH(F66,'Pricing (Drugs) SS'!$A:$A,0))</f>
        <v>Not on List</v>
      </c>
      <c r="S66" s="195" t="str">
        <f>IF(COUNTIFS('Version and Lists'!$F:$F,F66,'Version and Lists'!$G:$G,$M$22)&gt;0,"X","")</f>
        <v/>
      </c>
    </row>
    <row r="67" spans="1:19" s="198" customFormat="1" ht="15" customHeight="1" x14ac:dyDescent="0.3">
      <c r="A67" s="185">
        <f>INDEX('Cart Formulary Calculator'!$A$12:$A$433,MATCH(F67,'Cart Formulary Calculator'!$F$12:$F$433,0))</f>
        <v>0</v>
      </c>
      <c r="B67" s="186" t="str">
        <f>INDEX('Pricing (Drugs) SS'!$B:$B,MATCH(F67,'Pricing (Drugs) SS'!$A:$A,0))</f>
        <v>DIPHENHYDRAMINE HCI INJECTION, USP 50mg/mL 1mL VIAL</v>
      </c>
      <c r="C67" s="187" t="str">
        <f>INDEX('Pricing (Drugs) SS'!$E:$E,MATCH(F67,'Pricing (Drugs) SS'!$A:$A,0))</f>
        <v>50mg/mL</v>
      </c>
      <c r="D67" s="188" t="str">
        <f>INDEX('Pricing (Drugs) SS'!$F:$F,MATCH(F67,'Pricing (Drugs) SS'!$A:$A,0))</f>
        <v>1mL</v>
      </c>
      <c r="E67" s="188" t="str">
        <f>INDEX('Pricing (Drugs) SS'!$D:$D,MATCH(F67,'Pricing (Drugs) SS'!$A:$A,0))</f>
        <v>0641-0376-25</v>
      </c>
      <c r="F67" s="189">
        <v>1000200</v>
      </c>
      <c r="G67" s="241">
        <f>INDEX('Pricing (Drugs) SS'!$I:$I,MATCH(F67,'Pricing (Drugs) SS'!$A:$A,0))</f>
        <v>0.56000000000000005</v>
      </c>
      <c r="H67" s="241">
        <f t="shared" si="2"/>
        <v>0</v>
      </c>
      <c r="I67" s="190">
        <f>VLOOKUP(F67,'Price Sheet'!$A:$C,3,FALSE)</f>
        <v>21.95</v>
      </c>
      <c r="J67" s="191"/>
      <c r="K67" s="192">
        <f t="shared" si="6"/>
        <v>21.95</v>
      </c>
      <c r="L67" s="192">
        <f t="shared" si="7"/>
        <v>0</v>
      </c>
      <c r="M67" s="193" t="str">
        <f t="shared" si="3"/>
        <v/>
      </c>
      <c r="N67" s="194" t="str">
        <f t="shared" si="4"/>
        <v/>
      </c>
      <c r="O67" s="124" t="str">
        <f t="shared" si="5"/>
        <v/>
      </c>
      <c r="P67" s="124" t="str">
        <f>INDEX('Pricing (Drugs) SS'!$C:$C,MATCH(F67,'Pricing (Drugs) SS'!$A:$A,0))</f>
        <v>ACTIVE</v>
      </c>
      <c r="Q67" s="124" t="str">
        <f>IF(AND($L$23="Extra DEA Req",S67="X"),"SAFE- CONTROLLED",INDEX('Pricing (Drugs) SS'!$G:$G,MATCH(F67,'Pricing (Drugs) SS'!$A:$A,0)))</f>
        <v>DRUG ROOM</v>
      </c>
      <c r="R67" s="195" t="str">
        <f>INDEX('Pricing (Drugs) SS'!$H:$H,MATCH(F67,'Pricing (Drugs) SS'!$A:$A,0))</f>
        <v>Not on List</v>
      </c>
      <c r="S67" s="195" t="str">
        <f>IF(COUNTIFS('Version and Lists'!$F:$F,F67,'Version and Lists'!$G:$G,$M$22)&gt;0,"X","")</f>
        <v/>
      </c>
    </row>
    <row r="68" spans="1:19" ht="15" customHeight="1" x14ac:dyDescent="0.3">
      <c r="A68" s="185">
        <f>INDEX('Cart Formulary Calculator'!$A$12:$A$433,MATCH(F68,'Cart Formulary Calculator'!$F$12:$F$433,0))</f>
        <v>0</v>
      </c>
      <c r="B68" s="186" t="str">
        <f>INDEX('Pricing (Drugs) SS'!$B:$B,MATCH(F68,'Pricing (Drugs) SS'!$A:$A,0))</f>
        <v>DIPHENHYDRAMINE HCl 25mg CAPLET (2 PACK)</v>
      </c>
      <c r="C68" s="187" t="str">
        <f>INDEX('Pricing (Drugs) SS'!$E:$E,MATCH(F68,'Pricing (Drugs) SS'!$A:$A,0))</f>
        <v>25 mg/1</v>
      </c>
      <c r="D68" s="188" t="str">
        <f>INDEX('Pricing (Drugs) SS'!$F:$F,MATCH(F68,'Pricing (Drugs) SS'!$A:$A,0))</f>
        <v>1 caplet</v>
      </c>
      <c r="E68" s="188" t="str">
        <f>INDEX('Pricing (Drugs) SS'!$D:$D,MATCH(F68,'Pricing (Drugs) SS'!$A:$A,0))</f>
        <v>47682-167-47</v>
      </c>
      <c r="F68" s="189">
        <v>1024640</v>
      </c>
      <c r="G68" s="241">
        <f>INDEX('Pricing (Drugs) SS'!$I:$I,MATCH(F68,'Pricing (Drugs) SS'!$A:$A,0))</f>
        <v>9.9699999999999997E-2</v>
      </c>
      <c r="H68" s="241">
        <f t="shared" si="2"/>
        <v>0</v>
      </c>
      <c r="I68" s="190">
        <f>VLOOKUP(F68,'Price Sheet'!$A:$C,3,FALSE)</f>
        <v>5.4</v>
      </c>
      <c r="J68" s="191"/>
      <c r="K68" s="192">
        <f t="shared" si="6"/>
        <v>5.4</v>
      </c>
      <c r="L68" s="192">
        <f t="shared" si="7"/>
        <v>0</v>
      </c>
      <c r="M68" s="193" t="str">
        <f t="shared" si="3"/>
        <v/>
      </c>
      <c r="N68" s="194" t="str">
        <f t="shared" si="4"/>
        <v/>
      </c>
      <c r="O68" s="124" t="str">
        <f t="shared" si="5"/>
        <v/>
      </c>
      <c r="P68" s="124" t="str">
        <f>INDEX('Pricing (Drugs) SS'!$C:$C,MATCH(F68,'Pricing (Drugs) SS'!$A:$A,0))</f>
        <v>ACTIVE</v>
      </c>
      <c r="Q68" s="124" t="str">
        <f>IF(AND($L$23="Extra DEA Req",S68="X"),"SAFE- CONTROLLED",INDEX('Pricing (Drugs) SS'!$G:$G,MATCH(F68,'Pricing (Drugs) SS'!$A:$A,0)))</f>
        <v>DRUG ROOM</v>
      </c>
      <c r="R68" s="195" t="str">
        <f>INDEX('Pricing (Drugs) SS'!$H:$H,MATCH(F68,'Pricing (Drugs) SS'!$A:$A,0))</f>
        <v>Not on List</v>
      </c>
      <c r="S68" s="195" t="str">
        <f>IF(COUNTIFS('Version and Lists'!$F:$F,F68,'Version and Lists'!$G:$G,$M$22)&gt;0,"X","")</f>
        <v/>
      </c>
    </row>
    <row r="69" spans="1:19" ht="15" customHeight="1" x14ac:dyDescent="0.3">
      <c r="A69" s="185">
        <f>INDEX('Cart Formulary Calculator'!$A$12:$A$433,MATCH(F69,'Cart Formulary Calculator'!$F$12:$F$433,0))</f>
        <v>0</v>
      </c>
      <c r="B69" s="186" t="str">
        <f>INDEX('Pricing (Drugs) SS'!$B:$B,MATCH(F69,'Pricing (Drugs) SS'!$A:$A,0))</f>
        <v>DOBUTAMINE INJECTION, USP 250mg PER 20mL VIAL</v>
      </c>
      <c r="C69" s="187" t="str">
        <f>INDEX('Pricing (Drugs) SS'!$E:$E,MATCH(F69,'Pricing (Drugs) SS'!$A:$A,0))</f>
        <v>250mg PER 20mL</v>
      </c>
      <c r="D69" s="188" t="str">
        <f>INDEX('Pricing (Drugs) SS'!$F:$F,MATCH(F69,'Pricing (Drugs) SS'!$A:$A,0))</f>
        <v>20mL</v>
      </c>
      <c r="E69" s="188" t="str">
        <f>INDEX('Pricing (Drugs) SS'!$D:$D,MATCH(F69,'Pricing (Drugs) SS'!$A:$A,0))</f>
        <v>0409-2344-02</v>
      </c>
      <c r="F69" s="189">
        <v>1010100</v>
      </c>
      <c r="G69" s="241">
        <f>INDEX('Pricing (Drugs) SS'!$I:$I,MATCH(F69,'Pricing (Drugs) SS'!$A:$A,0))</f>
        <v>8.3190000000000008</v>
      </c>
      <c r="H69" s="241">
        <f t="shared" si="2"/>
        <v>0</v>
      </c>
      <c r="I69" s="190">
        <f>VLOOKUP(F69,'Price Sheet'!$A:$C,3,FALSE)</f>
        <v>21.8</v>
      </c>
      <c r="J69" s="191"/>
      <c r="K69" s="192">
        <f t="shared" si="6"/>
        <v>21.8</v>
      </c>
      <c r="L69" s="192">
        <f t="shared" si="7"/>
        <v>0</v>
      </c>
      <c r="M69" s="193" t="str">
        <f t="shared" si="3"/>
        <v/>
      </c>
      <c r="N69" s="194" t="str">
        <f t="shared" si="4"/>
        <v/>
      </c>
      <c r="O69" s="124" t="str">
        <f t="shared" si="5"/>
        <v/>
      </c>
      <c r="P69" s="124" t="str">
        <f>INDEX('Pricing (Drugs) SS'!$C:$C,MATCH(F69,'Pricing (Drugs) SS'!$A:$A,0))</f>
        <v>ACTIVE</v>
      </c>
      <c r="Q69" s="124" t="str">
        <f>IF(AND($L$23="Extra DEA Req",S69="X"),"SAFE- CONTROLLED",INDEX('Pricing (Drugs) SS'!$G:$G,MATCH(F69,'Pricing (Drugs) SS'!$A:$A,0)))</f>
        <v>DRUG ROOM</v>
      </c>
      <c r="R69" s="195" t="str">
        <f>INDEX('Pricing (Drugs) SS'!$H:$H,MATCH(F69,'Pricing (Drugs) SS'!$A:$A,0))</f>
        <v>Not on List</v>
      </c>
      <c r="S69" s="195" t="str">
        <f>IF(COUNTIFS('Version and Lists'!$F:$F,F69,'Version and Lists'!$G:$G,$M$22)&gt;0,"X","")</f>
        <v/>
      </c>
    </row>
    <row r="70" spans="1:19" ht="15" customHeight="1" x14ac:dyDescent="0.3">
      <c r="A70" s="185">
        <f>INDEX('Cart Formulary Calculator'!$A$12:$A$433,MATCH(F70,'Cart Formulary Calculator'!$F$12:$F$433,0))</f>
        <v>0</v>
      </c>
      <c r="B70" s="186" t="str">
        <f>INDEX('Pricing (Drugs) SS'!$B:$B,MATCH(F70,'Pricing (Drugs) SS'!$A:$A,0))</f>
        <v>DOBUTAMINE HYDROCHLORIDE IN 5% DEXTROSE INJECTION, 250mg PER 250mL (1,000 mcg/mL) 250mL BAG</v>
      </c>
      <c r="C70" s="187" t="str">
        <f>INDEX('Pricing (Drugs) SS'!$E:$E,MATCH(F70,'Pricing (Drugs) SS'!$A:$A,0))</f>
        <v>1,000mcg/mL</v>
      </c>
      <c r="D70" s="188" t="str">
        <f>INDEX('Pricing (Drugs) SS'!$F:$F,MATCH(F70,'Pricing (Drugs) SS'!$A:$A,0))</f>
        <v>250mL</v>
      </c>
      <c r="E70" s="188" t="str">
        <f>INDEX('Pricing (Drugs) SS'!$D:$D,MATCH(F70,'Pricing (Drugs) SS'!$A:$A,0))</f>
        <v>0338-1073-02</v>
      </c>
      <c r="F70" s="189">
        <v>1016380</v>
      </c>
      <c r="G70" s="241">
        <f>INDEX('Pricing (Drugs) SS'!$I:$I,MATCH(F70,'Pricing (Drugs) SS'!$A:$A,0))</f>
        <v>25.8822222222222</v>
      </c>
      <c r="H70" s="241">
        <f t="shared" si="2"/>
        <v>0</v>
      </c>
      <c r="I70" s="190">
        <f>VLOOKUP(F70,'Price Sheet'!$A:$C,3,FALSE)</f>
        <v>94.99</v>
      </c>
      <c r="J70" s="191"/>
      <c r="K70" s="192">
        <f t="shared" si="6"/>
        <v>94.99</v>
      </c>
      <c r="L70" s="192">
        <f t="shared" si="7"/>
        <v>0</v>
      </c>
      <c r="M70" s="193" t="str">
        <f t="shared" si="3"/>
        <v/>
      </c>
      <c r="N70" s="194" t="str">
        <f t="shared" si="4"/>
        <v/>
      </c>
      <c r="O70" s="124" t="str">
        <f t="shared" si="5"/>
        <v/>
      </c>
      <c r="P70" s="124" t="str">
        <f>INDEX('Pricing (Drugs) SS'!$C:$C,MATCH(F70,'Pricing (Drugs) SS'!$A:$A,0))</f>
        <v>ACTIVE</v>
      </c>
      <c r="Q70" s="124" t="str">
        <f>IF(AND($L$23="Extra DEA Req",S70="X"),"SAFE- CONTROLLED",INDEX('Pricing (Drugs) SS'!$G:$G,MATCH(F70,'Pricing (Drugs) SS'!$A:$A,0)))</f>
        <v>DRUG ROOM</v>
      </c>
      <c r="R70" s="195" t="str">
        <f>INDEX('Pricing (Drugs) SS'!$H:$H,MATCH(F70,'Pricing (Drugs) SS'!$A:$A,0))</f>
        <v>Not on List</v>
      </c>
      <c r="S70" s="195" t="str">
        <f>IF(COUNTIFS('Version and Lists'!$F:$F,F70,'Version and Lists'!$G:$G,$M$22)&gt;0,"X","")</f>
        <v/>
      </c>
    </row>
    <row r="71" spans="1:19" ht="15" customHeight="1" x14ac:dyDescent="0.3">
      <c r="A71" s="185">
        <f>INDEX('Cart Formulary Calculator'!$A$12:$A$433,MATCH(F71,'Cart Formulary Calculator'!$F$12:$F$433,0))</f>
        <v>0</v>
      </c>
      <c r="B71" s="186" t="str">
        <f>INDEX('Pricing (Drugs) SS'!$B:$B,MATCH(F71,'Pricing (Drugs) SS'!$A:$A,0))</f>
        <v>DOBUTAMINE IN 5% DEXTROSE INJECTION, USP 500mg 250mL BAG</v>
      </c>
      <c r="C71" s="187" t="str">
        <f>INDEX('Pricing (Drugs) SS'!$E:$E,MATCH(F71,'Pricing (Drugs) SS'!$A:$A,0))</f>
        <v>2,000mcg/mL</v>
      </c>
      <c r="D71" s="188" t="str">
        <f>INDEX('Pricing (Drugs) SS'!$F:$F,MATCH(F71,'Pricing (Drugs) SS'!$A:$A,0))</f>
        <v>250mL</v>
      </c>
      <c r="E71" s="188" t="str">
        <f>INDEX('Pricing (Drugs) SS'!$D:$D,MATCH(F71,'Pricing (Drugs) SS'!$A:$A,0))</f>
        <v>0409-2347-32</v>
      </c>
      <c r="F71" s="189">
        <v>1010010</v>
      </c>
      <c r="G71" s="241">
        <f>INDEX('Pricing (Drugs) SS'!$I:$I,MATCH(F71,'Pricing (Drugs) SS'!$A:$A,0))</f>
        <v>39.108333333333299</v>
      </c>
      <c r="H71" s="241">
        <f t="shared" si="2"/>
        <v>0</v>
      </c>
      <c r="I71" s="190">
        <f>VLOOKUP(F71,'Price Sheet'!$A:$C,3,FALSE)</f>
        <v>94.99</v>
      </c>
      <c r="J71" s="191"/>
      <c r="K71" s="192">
        <f t="shared" si="6"/>
        <v>94.99</v>
      </c>
      <c r="L71" s="192">
        <f t="shared" si="7"/>
        <v>0</v>
      </c>
      <c r="M71" s="193" t="str">
        <f t="shared" si="3"/>
        <v/>
      </c>
      <c r="N71" s="194" t="str">
        <f t="shared" si="4"/>
        <v/>
      </c>
      <c r="O71" s="124" t="str">
        <f t="shared" si="5"/>
        <v/>
      </c>
      <c r="P71" s="124" t="str">
        <f>INDEX('Pricing (Drugs) SS'!$C:$C,MATCH(F71,'Pricing (Drugs) SS'!$A:$A,0))</f>
        <v>ACTIVE</v>
      </c>
      <c r="Q71" s="124" t="str">
        <f>IF(AND($L$23="Extra DEA Req",S71="X"),"SAFE- CONTROLLED",INDEX('Pricing (Drugs) SS'!$G:$G,MATCH(F71,'Pricing (Drugs) SS'!$A:$A,0)))</f>
        <v>DRUG ROOM</v>
      </c>
      <c r="R71" s="195" t="str">
        <f>INDEX('Pricing (Drugs) SS'!$H:$H,MATCH(F71,'Pricing (Drugs) SS'!$A:$A,0))</f>
        <v>Not on List</v>
      </c>
      <c r="S71" s="195" t="str">
        <f>IF(COUNTIFS('Version and Lists'!$F:$F,F71,'Version and Lists'!$G:$G,$M$22)&gt;0,"X","")</f>
        <v/>
      </c>
    </row>
    <row r="72" spans="1:19" ht="15" customHeight="1" x14ac:dyDescent="0.3">
      <c r="A72" s="185">
        <f>INDEX('Cart Formulary Calculator'!$A$12:$A$433,MATCH(F72,'Cart Formulary Calculator'!$F$12:$F$433,0))</f>
        <v>0</v>
      </c>
      <c r="B72" s="186" t="str">
        <f>INDEX('Pricing (Drugs) SS'!$B:$B,MATCH(F72,'Pricing (Drugs) SS'!$A:$A,0))</f>
        <v>DOPAMINE HCI INJ., USP 200mg (40 mg/mL) 5mL VIAL</v>
      </c>
      <c r="C72" s="187" t="str">
        <f>INDEX('Pricing (Drugs) SS'!$E:$E,MATCH(F72,'Pricing (Drugs) SS'!$A:$A,0))</f>
        <v>40mg/mL</v>
      </c>
      <c r="D72" s="188" t="str">
        <f>INDEX('Pricing (Drugs) SS'!$F:$F,MATCH(F72,'Pricing (Drugs) SS'!$A:$A,0))</f>
        <v>5mL</v>
      </c>
      <c r="E72" s="188" t="str">
        <f>INDEX('Pricing (Drugs) SS'!$D:$D,MATCH(F72,'Pricing (Drugs) SS'!$A:$A,0))</f>
        <v>0409-5820-01</v>
      </c>
      <c r="F72" s="189">
        <v>1007700</v>
      </c>
      <c r="G72" s="241">
        <f>INDEX('Pricing (Drugs) SS'!$I:$I,MATCH(F72,'Pricing (Drugs) SS'!$A:$A,0))</f>
        <v>4.2956000000000003</v>
      </c>
      <c r="H72" s="241">
        <f t="shared" si="2"/>
        <v>0</v>
      </c>
      <c r="I72" s="190">
        <f>VLOOKUP(F72,'Price Sheet'!$A:$C,3,FALSE)</f>
        <v>15.99</v>
      </c>
      <c r="J72" s="191"/>
      <c r="K72" s="192">
        <f t="shared" si="6"/>
        <v>15.99</v>
      </c>
      <c r="L72" s="192">
        <f t="shared" si="7"/>
        <v>0</v>
      </c>
      <c r="M72" s="193" t="str">
        <f t="shared" si="3"/>
        <v/>
      </c>
      <c r="N72" s="194" t="str">
        <f t="shared" si="4"/>
        <v/>
      </c>
      <c r="O72" s="124" t="str">
        <f t="shared" si="5"/>
        <v/>
      </c>
      <c r="P72" s="124" t="str">
        <f>INDEX('Pricing (Drugs) SS'!$C:$C,MATCH(F72,'Pricing (Drugs) SS'!$A:$A,0))</f>
        <v>ACTIVE</v>
      </c>
      <c r="Q72" s="124" t="str">
        <f>IF(AND($L$23="Extra DEA Req",S72="X"),"SAFE- CONTROLLED",INDEX('Pricing (Drugs) SS'!$G:$G,MATCH(F72,'Pricing (Drugs) SS'!$A:$A,0)))</f>
        <v>DRUG ROOM</v>
      </c>
      <c r="R72" s="195" t="str">
        <f>INDEX('Pricing (Drugs) SS'!$H:$H,MATCH(F72,'Pricing (Drugs) SS'!$A:$A,0))</f>
        <v>Not on List</v>
      </c>
      <c r="S72" s="195" t="str">
        <f>IF(COUNTIFS('Version and Lists'!$F:$F,F72,'Version and Lists'!$G:$G,$M$22)&gt;0,"X","")</f>
        <v/>
      </c>
    </row>
    <row r="73" spans="1:19" ht="15" customHeight="1" x14ac:dyDescent="0.3">
      <c r="A73" s="185">
        <f>INDEX('Cart Formulary Calculator'!$A$12:$A$433,MATCH(F73,'Cart Formulary Calculator'!$F$12:$F$433,0))</f>
        <v>0</v>
      </c>
      <c r="B73" s="186" t="str">
        <f>INDEX('Pricing (Drugs) SS'!$B:$B,MATCH(F73,'Pricing (Drugs) SS'!$A:$A,0))</f>
        <v>DOPAMINE HCI INJ., USP 400mg (40mg/mL) 10mL VIAL</v>
      </c>
      <c r="C73" s="187" t="str">
        <f>INDEX('Pricing (Drugs) SS'!$E:$E,MATCH(F73,'Pricing (Drugs) SS'!$A:$A,0))</f>
        <v>40mg/mL</v>
      </c>
      <c r="D73" s="188" t="str">
        <f>INDEX('Pricing (Drugs) SS'!$F:$F,MATCH(F73,'Pricing (Drugs) SS'!$A:$A,0))</f>
        <v>10mL</v>
      </c>
      <c r="E73" s="188" t="str">
        <f>INDEX('Pricing (Drugs) SS'!$D:$D,MATCH(F73,'Pricing (Drugs) SS'!$A:$A,0))</f>
        <v>0409-9104-20</v>
      </c>
      <c r="F73" s="189">
        <v>1000210</v>
      </c>
      <c r="G73" s="241">
        <f>INDEX('Pricing (Drugs) SS'!$I:$I,MATCH(F73,'Pricing (Drugs) SS'!$A:$A,0))</f>
        <v>8.0272000000000006</v>
      </c>
      <c r="H73" s="241">
        <f t="shared" si="2"/>
        <v>0</v>
      </c>
      <c r="I73" s="190">
        <f>VLOOKUP(F73,'Price Sheet'!$A:$C,3,FALSE)</f>
        <v>35.090000000000003</v>
      </c>
      <c r="J73" s="191"/>
      <c r="K73" s="192">
        <f t="shared" si="6"/>
        <v>35.090000000000003</v>
      </c>
      <c r="L73" s="192">
        <f t="shared" si="7"/>
        <v>0</v>
      </c>
      <c r="M73" s="193" t="str">
        <f t="shared" si="3"/>
        <v/>
      </c>
      <c r="N73" s="194" t="str">
        <f t="shared" si="4"/>
        <v/>
      </c>
      <c r="O73" s="124" t="str">
        <f t="shared" si="5"/>
        <v/>
      </c>
      <c r="P73" s="124" t="str">
        <f>INDEX('Pricing (Drugs) SS'!$C:$C,MATCH(F73,'Pricing (Drugs) SS'!$A:$A,0))</f>
        <v>ACTIVE</v>
      </c>
      <c r="Q73" s="124" t="str">
        <f>IF(AND($L$23="Extra DEA Req",S73="X"),"SAFE- CONTROLLED",INDEX('Pricing (Drugs) SS'!$G:$G,MATCH(F73,'Pricing (Drugs) SS'!$A:$A,0)))</f>
        <v>DRUG ROOM</v>
      </c>
      <c r="R73" s="195" t="str">
        <f>INDEX('Pricing (Drugs) SS'!$H:$H,MATCH(F73,'Pricing (Drugs) SS'!$A:$A,0))</f>
        <v>Not on List</v>
      </c>
      <c r="S73" s="195" t="str">
        <f>IF(COUNTIFS('Version and Lists'!$F:$F,F73,'Version and Lists'!$G:$G,$M$22)&gt;0,"X","")</f>
        <v/>
      </c>
    </row>
    <row r="74" spans="1:19" ht="15" customHeight="1" x14ac:dyDescent="0.3">
      <c r="A74" s="185">
        <f>INDEX('Cart Formulary Calculator'!$A$12:$A$433,MATCH(F74,'Cart Formulary Calculator'!$F$12:$F$433,0))</f>
        <v>0</v>
      </c>
      <c r="B74" s="186" t="str">
        <f>INDEX('Pricing (Drugs) SS'!$B:$B,MATCH(F74,'Pricing (Drugs) SS'!$A:$A,0))</f>
        <v>DOPAMINE HYDROCHLORIDE INJECTION, USP 400mg/10mL (40mg/mL) 10mL VIAL</v>
      </c>
      <c r="C74" s="187" t="str">
        <f>INDEX('Pricing (Drugs) SS'!$E:$E,MATCH(F74,'Pricing (Drugs) SS'!$A:$A,0))</f>
        <v>40mg/mL</v>
      </c>
      <c r="D74" s="188" t="str">
        <f>INDEX('Pricing (Drugs) SS'!$F:$F,MATCH(F74,'Pricing (Drugs) SS'!$A:$A,0))</f>
        <v>10mL</v>
      </c>
      <c r="E74" s="188" t="str">
        <f>INDEX('Pricing (Drugs) SS'!$D:$D,MATCH(F74,'Pricing (Drugs) SS'!$A:$A,0))</f>
        <v>0143-9254-25</v>
      </c>
      <c r="F74" s="189">
        <v>1013490</v>
      </c>
      <c r="G74" s="241">
        <f>INDEX('Pricing (Drugs) SS'!$I:$I,MATCH(F74,'Pricing (Drugs) SS'!$A:$A,0))</f>
        <v>2.85</v>
      </c>
      <c r="H74" s="241">
        <f t="shared" si="2"/>
        <v>0</v>
      </c>
      <c r="I74" s="190">
        <f>VLOOKUP(F74,'Price Sheet'!$A:$C,3,FALSE)</f>
        <v>35.090000000000003</v>
      </c>
      <c r="J74" s="191"/>
      <c r="K74" s="192">
        <f t="shared" si="6"/>
        <v>35.090000000000003</v>
      </c>
      <c r="L74" s="192">
        <f t="shared" si="7"/>
        <v>0</v>
      </c>
      <c r="M74" s="193" t="str">
        <f t="shared" si="3"/>
        <v/>
      </c>
      <c r="N74" s="194" t="str">
        <f t="shared" si="4"/>
        <v/>
      </c>
      <c r="O74" s="124" t="str">
        <f t="shared" si="5"/>
        <v/>
      </c>
      <c r="P74" s="124" t="str">
        <f>INDEX('Pricing (Drugs) SS'!$C:$C,MATCH(F74,'Pricing (Drugs) SS'!$A:$A,0))</f>
        <v>ACTIVE</v>
      </c>
      <c r="Q74" s="124" t="str">
        <f>IF(AND($L$23="Extra DEA Req",S74="X"),"SAFE- CONTROLLED",INDEX('Pricing (Drugs) SS'!$G:$G,MATCH(F74,'Pricing (Drugs) SS'!$A:$A,0)))</f>
        <v>DRUG ROOM</v>
      </c>
      <c r="R74" s="195" t="str">
        <f>INDEX('Pricing (Drugs) SS'!$H:$H,MATCH(F74,'Pricing (Drugs) SS'!$A:$A,0))</f>
        <v>Not on List</v>
      </c>
      <c r="S74" s="195" t="str">
        <f>IF(COUNTIFS('Version and Lists'!$F:$F,F74,'Version and Lists'!$G:$G,$M$22)&gt;0,"X","")</f>
        <v/>
      </c>
    </row>
    <row r="75" spans="1:19" ht="15" customHeight="1" x14ac:dyDescent="0.3">
      <c r="A75" s="185">
        <f>INDEX('Cart Formulary Calculator'!$A$12:$A$433,MATCH(F75,'Cart Formulary Calculator'!$F$12:$F$433,0))</f>
        <v>0</v>
      </c>
      <c r="B75" s="186" t="str">
        <f>INDEX('Pricing (Drugs) SS'!$B:$B,MATCH(F75,'Pricing (Drugs) SS'!$A:$A,0))</f>
        <v>DOPAMINE HYDROCHLORIDE IN 5% DEXTROSE INJECTION, USP 400mg 250mL BAG</v>
      </c>
      <c r="C75" s="187" t="str">
        <f>INDEX('Pricing (Drugs) SS'!$E:$E,MATCH(F75,'Pricing (Drugs) SS'!$A:$A,0))</f>
        <v>400mg</v>
      </c>
      <c r="D75" s="188" t="str">
        <f>INDEX('Pricing (Drugs) SS'!$F:$F,MATCH(F75,'Pricing (Drugs) SS'!$A:$A,0))</f>
        <v>250mL</v>
      </c>
      <c r="E75" s="188" t="str">
        <f>INDEX('Pricing (Drugs) SS'!$D:$D,MATCH(F75,'Pricing (Drugs) SS'!$A:$A,0))</f>
        <v>0409-7809-22</v>
      </c>
      <c r="F75" s="189">
        <v>1009740</v>
      </c>
      <c r="G75" s="241">
        <f>INDEX('Pricing (Drugs) SS'!$I:$I,MATCH(F75,'Pricing (Drugs) SS'!$A:$A,0))</f>
        <v>15.8725</v>
      </c>
      <c r="H75" s="241">
        <f t="shared" si="2"/>
        <v>0</v>
      </c>
      <c r="I75" s="190">
        <f>VLOOKUP(F75,'Price Sheet'!$A:$C,3,FALSE)</f>
        <v>32.950000000000003</v>
      </c>
      <c r="J75" s="191"/>
      <c r="K75" s="192">
        <f t="shared" si="6"/>
        <v>32.950000000000003</v>
      </c>
      <c r="L75" s="192">
        <f t="shared" si="7"/>
        <v>0</v>
      </c>
      <c r="M75" s="193" t="str">
        <f t="shared" si="3"/>
        <v/>
      </c>
      <c r="N75" s="194" t="str">
        <f t="shared" si="4"/>
        <v/>
      </c>
      <c r="O75" s="124" t="str">
        <f t="shared" si="5"/>
        <v/>
      </c>
      <c r="P75" s="124" t="str">
        <f>INDEX('Pricing (Drugs) SS'!$C:$C,MATCH(F75,'Pricing (Drugs) SS'!$A:$A,0))</f>
        <v>ACTIVE</v>
      </c>
      <c r="Q75" s="124" t="str">
        <f>IF(AND($L$23="Extra DEA Req",S75="X"),"SAFE- CONTROLLED",INDEX('Pricing (Drugs) SS'!$G:$G,MATCH(F75,'Pricing (Drugs) SS'!$A:$A,0)))</f>
        <v>DRUG ROOM</v>
      </c>
      <c r="R75" s="195" t="str">
        <f>INDEX('Pricing (Drugs) SS'!$H:$H,MATCH(F75,'Pricing (Drugs) SS'!$A:$A,0))</f>
        <v>Not on List</v>
      </c>
      <c r="S75" s="195" t="str">
        <f>IF(COUNTIFS('Version and Lists'!$F:$F,F75,'Version and Lists'!$G:$G,$M$22)&gt;0,"X","")</f>
        <v/>
      </c>
    </row>
    <row r="76" spans="1:19" ht="15" customHeight="1" x14ac:dyDescent="0.3">
      <c r="A76" s="185">
        <f>INDEX('Cart Formulary Calculator'!$A$12:$A$433,MATCH(F76,'Cart Formulary Calculator'!$F$12:$F$433,0))</f>
        <v>0</v>
      </c>
      <c r="B76" s="186" t="str">
        <f>INDEX('Pricing (Drugs) SS'!$B:$B,MATCH(F76,'Pricing (Drugs) SS'!$A:$A,0))</f>
        <v>DOPAMINE HCI IN 5% DEXTROSE INJECTION, USP 800mg/500mL (1,600mcg/mL) 500mL BAG</v>
      </c>
      <c r="C76" s="187" t="str">
        <f>INDEX('Pricing (Drugs) SS'!$E:$E,MATCH(F76,'Pricing (Drugs) SS'!$A:$A,0))</f>
        <v>1600mcg/mL</v>
      </c>
      <c r="D76" s="188" t="str">
        <f>INDEX('Pricing (Drugs) SS'!$F:$F,MATCH(F76,'Pricing (Drugs) SS'!$A:$A,0))</f>
        <v>500mL</v>
      </c>
      <c r="E76" s="188" t="str">
        <f>INDEX('Pricing (Drugs) SS'!$D:$D,MATCH(F76,'Pricing (Drugs) SS'!$A:$A,0))</f>
        <v>0409-7809-24</v>
      </c>
      <c r="F76" s="189">
        <v>1012780</v>
      </c>
      <c r="G76" s="241">
        <f>INDEX('Pricing (Drugs) SS'!$I:$I,MATCH(F76,'Pricing (Drugs) SS'!$A:$A,0))</f>
        <v>20.9575</v>
      </c>
      <c r="H76" s="241">
        <f t="shared" si="2"/>
        <v>0</v>
      </c>
      <c r="I76" s="190">
        <f>VLOOKUP(F76,'Price Sheet'!$A:$C,3,FALSE)</f>
        <v>54.99</v>
      </c>
      <c r="J76" s="191"/>
      <c r="K76" s="192">
        <f t="shared" si="6"/>
        <v>54.99</v>
      </c>
      <c r="L76" s="192">
        <f t="shared" si="7"/>
        <v>0</v>
      </c>
      <c r="M76" s="193" t="str">
        <f t="shared" si="3"/>
        <v/>
      </c>
      <c r="N76" s="194" t="str">
        <f t="shared" si="4"/>
        <v/>
      </c>
      <c r="O76" s="124" t="str">
        <f t="shared" si="5"/>
        <v/>
      </c>
      <c r="P76" s="124" t="str">
        <f>INDEX('Pricing (Drugs) SS'!$C:$C,MATCH(F76,'Pricing (Drugs) SS'!$A:$A,0))</f>
        <v>ACTIVE</v>
      </c>
      <c r="Q76" s="124" t="str">
        <f>IF(AND($L$23="Extra DEA Req",S76="X"),"SAFE- CONTROLLED",INDEX('Pricing (Drugs) SS'!$G:$G,MATCH(F76,'Pricing (Drugs) SS'!$A:$A,0)))</f>
        <v>DRUG ROOM</v>
      </c>
      <c r="R76" s="195" t="str">
        <f>INDEX('Pricing (Drugs) SS'!$H:$H,MATCH(F76,'Pricing (Drugs) SS'!$A:$A,0))</f>
        <v>Not on List</v>
      </c>
      <c r="S76" s="195" t="str">
        <f>IF(COUNTIFS('Version and Lists'!$F:$F,F76,'Version and Lists'!$G:$G,$M$22)&gt;0,"X","")</f>
        <v/>
      </c>
    </row>
    <row r="77" spans="1:19" ht="15" customHeight="1" x14ac:dyDescent="0.3">
      <c r="A77" s="185">
        <f>INDEX('Cart Formulary Calculator'!$A$12:$A$433,MATCH(F77,'Cart Formulary Calculator'!$F$12:$F$433,0))</f>
        <v>0</v>
      </c>
      <c r="B77" s="186" t="str">
        <f>INDEX('Pricing (Drugs) SS'!$B:$B,MATCH(F77,'Pricing (Drugs) SS'!$A:$A,0))</f>
        <v>DOXY 100™ DOXYCYCLINE FOR INJECTION, USP 100mg per VIAL 20mL VIAL</v>
      </c>
      <c r="C77" s="187" t="str">
        <f>INDEX('Pricing (Drugs) SS'!$E:$E,MATCH(F77,'Pricing (Drugs) SS'!$A:$A,0))</f>
        <v>100mg</v>
      </c>
      <c r="D77" s="188" t="str">
        <f>INDEX('Pricing (Drugs) SS'!$F:$F,MATCH(F77,'Pricing (Drugs) SS'!$A:$A,0))</f>
        <v>20mL</v>
      </c>
      <c r="E77" s="188" t="str">
        <f>INDEX('Pricing (Drugs) SS'!$D:$D,MATCH(F77,'Pricing (Drugs) SS'!$A:$A,0))</f>
        <v>63323-130-11</v>
      </c>
      <c r="F77" s="189">
        <v>1011980</v>
      </c>
      <c r="G77" s="241">
        <f>INDEX('Pricing (Drugs) SS'!$I:$I,MATCH(F77,'Pricing (Drugs) SS'!$A:$A,0))</f>
        <v>26.33</v>
      </c>
      <c r="H77" s="241">
        <f t="shared" si="2"/>
        <v>0</v>
      </c>
      <c r="I77" s="190">
        <f>VLOOKUP(F77,'Price Sheet'!$A:$C,3,FALSE)</f>
        <v>78.989999999999995</v>
      </c>
      <c r="J77" s="191"/>
      <c r="K77" s="192">
        <f t="shared" si="6"/>
        <v>78.989999999999995</v>
      </c>
      <c r="L77" s="192">
        <f t="shared" si="7"/>
        <v>0</v>
      </c>
      <c r="M77" s="193" t="str">
        <f t="shared" si="3"/>
        <v/>
      </c>
      <c r="N77" s="194" t="str">
        <f t="shared" si="4"/>
        <v/>
      </c>
      <c r="O77" s="124" t="str">
        <f t="shared" si="5"/>
        <v/>
      </c>
      <c r="P77" s="124" t="str">
        <f>INDEX('Pricing (Drugs) SS'!$C:$C,MATCH(F77,'Pricing (Drugs) SS'!$A:$A,0))</f>
        <v>ACTIVE</v>
      </c>
      <c r="Q77" s="124" t="str">
        <f>IF(AND($L$23="Extra DEA Req",S77="X"),"SAFE- CONTROLLED",INDEX('Pricing (Drugs) SS'!$G:$G,MATCH(F77,'Pricing (Drugs) SS'!$A:$A,0)))</f>
        <v>DRUG ROOM</v>
      </c>
      <c r="R77" s="195" t="str">
        <f>INDEX('Pricing (Drugs) SS'!$H:$H,MATCH(F77,'Pricing (Drugs) SS'!$A:$A,0))</f>
        <v>Not on List</v>
      </c>
      <c r="S77" s="195" t="str">
        <f>IF(COUNTIFS('Version and Lists'!$F:$F,F77,'Version and Lists'!$G:$G,$M$22)&gt;0,"X","")</f>
        <v/>
      </c>
    </row>
    <row r="78" spans="1:19" ht="15" customHeight="1" x14ac:dyDescent="0.3">
      <c r="A78" s="185">
        <f>INDEX('Cart Formulary Calculator'!$A$12:$A$433,MATCH(F78,'Cart Formulary Calculator'!$F$12:$F$433,0))</f>
        <v>0</v>
      </c>
      <c r="B78" s="186" t="str">
        <f>INDEX('Pricing (Drugs) SS'!$B:$B,MATCH(F78,'Pricing (Drugs) SS'!$A:$A,0))</f>
        <v>ENALAPRILAT INJECTION 1.25mg/mL 1mL VIAL</v>
      </c>
      <c r="C78" s="187" t="str">
        <f>INDEX('Pricing (Drugs) SS'!$E:$E,MATCH(F78,'Pricing (Drugs) SS'!$A:$A,0))</f>
        <v>1.25mg/mL</v>
      </c>
      <c r="D78" s="188" t="str">
        <f>INDEX('Pricing (Drugs) SS'!$F:$F,MATCH(F78,'Pricing (Drugs) SS'!$A:$A,0))</f>
        <v>1mL</v>
      </c>
      <c r="E78" s="188" t="str">
        <f>INDEX('Pricing (Drugs) SS'!$D:$D,MATCH(F78,'Pricing (Drugs) SS'!$A:$A,0))</f>
        <v>0143-9787-10</v>
      </c>
      <c r="F78" s="189">
        <v>1012970</v>
      </c>
      <c r="G78" s="241">
        <f>INDEX('Pricing (Drugs) SS'!$I:$I,MATCH(F78,'Pricing (Drugs) SS'!$A:$A,0))</f>
        <v>4.7779999999999996</v>
      </c>
      <c r="H78" s="241">
        <f t="shared" si="2"/>
        <v>0</v>
      </c>
      <c r="I78" s="190">
        <f>VLOOKUP(F78,'Price Sheet'!$A:$C,3,FALSE)</f>
        <v>20.82</v>
      </c>
      <c r="J78" s="191"/>
      <c r="K78" s="192">
        <f t="shared" si="6"/>
        <v>20.82</v>
      </c>
      <c r="L78" s="192">
        <f t="shared" si="7"/>
        <v>0</v>
      </c>
      <c r="M78" s="193" t="str">
        <f t="shared" si="3"/>
        <v/>
      </c>
      <c r="N78" s="194" t="str">
        <f t="shared" si="4"/>
        <v/>
      </c>
      <c r="O78" s="124" t="str">
        <f t="shared" si="5"/>
        <v/>
      </c>
      <c r="P78" s="124" t="str">
        <f>INDEX('Pricing (Drugs) SS'!$C:$C,MATCH(F78,'Pricing (Drugs) SS'!$A:$A,0))</f>
        <v>ACTIVE</v>
      </c>
      <c r="Q78" s="124" t="str">
        <f>IF(AND($L$23="Extra DEA Req",S78="X"),"SAFE- CONTROLLED",INDEX('Pricing (Drugs) SS'!$G:$G,MATCH(F78,'Pricing (Drugs) SS'!$A:$A,0)))</f>
        <v>DRUG ROOM</v>
      </c>
      <c r="R78" s="195" t="str">
        <f>INDEX('Pricing (Drugs) SS'!$H:$H,MATCH(F78,'Pricing (Drugs) SS'!$A:$A,0))</f>
        <v>Not on List</v>
      </c>
      <c r="S78" s="195" t="str">
        <f>IF(COUNTIFS('Version and Lists'!$F:$F,F78,'Version and Lists'!$G:$G,$M$22)&gt;0,"X","")</f>
        <v/>
      </c>
    </row>
    <row r="79" spans="1:19" ht="15" customHeight="1" x14ac:dyDescent="0.3">
      <c r="A79" s="185">
        <f>INDEX('Cart Formulary Calculator'!$A$12:$A$433,MATCH(F79,'Cart Formulary Calculator'!$F$12:$F$433,0))</f>
        <v>0</v>
      </c>
      <c r="B79" s="186" t="str">
        <f>INDEX('Pricing (Drugs) SS'!$B:$B,MATCH(F79,'Pricing (Drugs) SS'!$A:$A,0))</f>
        <v>EPHEDRINE SULFATE INJECTIONS, USP 50 mg/mL 1mL VIAL</v>
      </c>
      <c r="C79" s="187" t="str">
        <f>INDEX('Pricing (Drugs) SS'!$E:$E,MATCH(F79,'Pricing (Drugs) SS'!$A:$A,0))</f>
        <v>50 mg/mL</v>
      </c>
      <c r="D79" s="188" t="str">
        <f>INDEX('Pricing (Drugs) SS'!$F:$F,MATCH(F79,'Pricing (Drugs) SS'!$A:$A,0))</f>
        <v>1mL</v>
      </c>
      <c r="E79" s="188" t="str">
        <f>INDEX('Pricing (Drugs) SS'!$D:$D,MATCH(F79,'Pricing (Drugs) SS'!$A:$A,0))</f>
        <v>42023-216-25</v>
      </c>
      <c r="F79" s="189">
        <v>1009960</v>
      </c>
      <c r="G79" s="241">
        <f>INDEX('Pricing (Drugs) SS'!$I:$I,MATCH(F79,'Pricing (Drugs) SS'!$A:$A,0))</f>
        <v>29.04</v>
      </c>
      <c r="H79" s="241">
        <f t="shared" si="2"/>
        <v>0</v>
      </c>
      <c r="I79" s="190">
        <f>VLOOKUP(F79,'Price Sheet'!$A:$C,3,FALSE)</f>
        <v>95.99</v>
      </c>
      <c r="J79" s="191"/>
      <c r="K79" s="192">
        <f t="shared" si="6"/>
        <v>95.99</v>
      </c>
      <c r="L79" s="192">
        <f t="shared" si="7"/>
        <v>0</v>
      </c>
      <c r="M79" s="193" t="str">
        <f t="shared" si="3"/>
        <v/>
      </c>
      <c r="N79" s="194" t="str">
        <f t="shared" si="4"/>
        <v>X</v>
      </c>
      <c r="O79" s="124" t="str">
        <f t="shared" si="5"/>
        <v>X</v>
      </c>
      <c r="P79" s="124" t="str">
        <f>INDEX('Pricing (Drugs) SS'!$C:$C,MATCH(F79,'Pricing (Drugs) SS'!$A:$A,0))</f>
        <v>ACTIVE</v>
      </c>
      <c r="Q79" s="124" t="str">
        <f>IF(AND($L$23="Extra DEA Req",S79="X"),"SAFE- CONTROLLED",INDEX('Pricing (Drugs) SS'!$G:$G,MATCH(F79,'Pricing (Drugs) SS'!$A:$A,0)))</f>
        <v>SAFE- CONTROLLED</v>
      </c>
      <c r="R79" s="195" t="str">
        <f>INDEX('Pricing (Drugs) SS'!$H:$H,MATCH(F79,'Pricing (Drugs) SS'!$A:$A,0))</f>
        <v>Lethal Injection Drug</v>
      </c>
      <c r="S79" s="195" t="str">
        <f>IF(COUNTIFS('Version and Lists'!$F:$F,F79,'Version and Lists'!$G:$G,$M$22)&gt;0,"X","")</f>
        <v/>
      </c>
    </row>
    <row r="80" spans="1:19" ht="15" customHeight="1" x14ac:dyDescent="0.3">
      <c r="A80" s="185">
        <f>INDEX('Cart Formulary Calculator'!$A$12:$A$433,MATCH(F80,'Cart Formulary Calculator'!$F$12:$F$433,0))</f>
        <v>0</v>
      </c>
      <c r="B80" s="186" t="str">
        <f>INDEX('Pricing (Drugs) SS'!$B:$B,MATCH(F80,'Pricing (Drugs) SS'!$A:$A,0))</f>
        <v>AUVI-Q® EPINEPHRINE INJECTION, USP 0.15mg AUTO INJECTOR</v>
      </c>
      <c r="C80" s="187" t="str">
        <f>INDEX('Pricing (Drugs) SS'!$E:$E,MATCH(F80,'Pricing (Drugs) SS'!$A:$A,0))</f>
        <v>.15mg/.15mL</v>
      </c>
      <c r="D80" s="188" t="str">
        <f>INDEX('Pricing (Drugs) SS'!$F:$F,MATCH(F80,'Pricing (Drugs) SS'!$A:$A,0))</f>
        <v>0.76mL</v>
      </c>
      <c r="E80" s="188" t="str">
        <f>INDEX('Pricing (Drugs) SS'!$D:$D,MATCH(F80,'Pricing (Drugs) SS'!$A:$A,0))</f>
        <v>60842-022-02</v>
      </c>
      <c r="F80" s="189">
        <v>1023450</v>
      </c>
      <c r="G80" s="241">
        <f>INDEX('Pricing (Drugs) SS'!$I:$I,MATCH(F80,'Pricing (Drugs) SS'!$A:$A,0))</f>
        <v>90.415000000000006</v>
      </c>
      <c r="H80" s="241">
        <f t="shared" si="2"/>
        <v>0</v>
      </c>
      <c r="I80" s="190">
        <f>VLOOKUP(F80,'Price Sheet'!$A:$C,3,FALSE)</f>
        <v>318.99</v>
      </c>
      <c r="J80" s="191"/>
      <c r="K80" s="192">
        <f t="shared" si="6"/>
        <v>318.99</v>
      </c>
      <c r="L80" s="192">
        <f t="shared" si="7"/>
        <v>0</v>
      </c>
      <c r="M80" s="193" t="str">
        <f t="shared" si="3"/>
        <v/>
      </c>
      <c r="N80" s="194" t="str">
        <f t="shared" si="4"/>
        <v/>
      </c>
      <c r="O80" s="124" t="str">
        <f t="shared" si="5"/>
        <v/>
      </c>
      <c r="P80" s="124" t="str">
        <f>INDEX('Pricing (Drugs) SS'!$C:$C,MATCH(F80,'Pricing (Drugs) SS'!$A:$A,0))</f>
        <v>RESTRICTED</v>
      </c>
      <c r="Q80" s="124" t="str">
        <f>IF(AND($L$23="Extra DEA Req",S80="X"),"SAFE- CONTROLLED",INDEX('Pricing (Drugs) SS'!$G:$G,MATCH(F80,'Pricing (Drugs) SS'!$A:$A,0)))</f>
        <v>DRUG ROOM</v>
      </c>
      <c r="R80" s="195" t="str">
        <f>INDEX('Pricing (Drugs) SS'!$H:$H,MATCH(F80,'Pricing (Drugs) SS'!$A:$A,0))</f>
        <v>Not on List</v>
      </c>
      <c r="S80" s="195" t="str">
        <f>IF(COUNTIFS('Version and Lists'!$F:$F,F80,'Version and Lists'!$G:$G,$M$22)&gt;0,"X","")</f>
        <v/>
      </c>
    </row>
    <row r="81" spans="1:19" ht="15" customHeight="1" x14ac:dyDescent="0.3">
      <c r="A81" s="185">
        <f>INDEX('Cart Formulary Calculator'!$A$12:$A$433,MATCH(F81,'Cart Formulary Calculator'!$F$12:$F$433,0))</f>
        <v>0</v>
      </c>
      <c r="B81" s="186" t="str">
        <f>INDEX('Pricing (Drugs) SS'!$B:$B,MATCH(F81,'Pricing (Drugs) SS'!$A:$A,0))</f>
        <v>AUVI-Q® EPINEPHRINE INJECTION, USP 0.3mg AUTO INJECTOR</v>
      </c>
      <c r="C81" s="187" t="str">
        <f>INDEX('Pricing (Drugs) SS'!$E:$E,MATCH(F81,'Pricing (Drugs) SS'!$A:$A,0))</f>
        <v>.3mg/.3mL</v>
      </c>
      <c r="D81" s="188" t="str">
        <f>INDEX('Pricing (Drugs) SS'!$F:$F,MATCH(F81,'Pricing (Drugs) SS'!$A:$A,0))</f>
        <v>0.76mL</v>
      </c>
      <c r="E81" s="188" t="str">
        <f>INDEX('Pricing (Drugs) SS'!$D:$D,MATCH(F81,'Pricing (Drugs) SS'!$A:$A,0))</f>
        <v>60842-023-02</v>
      </c>
      <c r="F81" s="189">
        <v>1023460</v>
      </c>
      <c r="G81" s="241">
        <f>INDEX('Pricing (Drugs) SS'!$I:$I,MATCH(F81,'Pricing (Drugs) SS'!$A:$A,0))</f>
        <v>90.415000000000006</v>
      </c>
      <c r="H81" s="241">
        <f t="shared" si="2"/>
        <v>0</v>
      </c>
      <c r="I81" s="190">
        <f>VLOOKUP(F81,'Price Sheet'!$A:$C,3,FALSE)</f>
        <v>318.99</v>
      </c>
      <c r="J81" s="191"/>
      <c r="K81" s="192">
        <f t="shared" si="6"/>
        <v>318.99</v>
      </c>
      <c r="L81" s="192">
        <f t="shared" si="7"/>
        <v>0</v>
      </c>
      <c r="M81" s="193" t="str">
        <f t="shared" si="3"/>
        <v/>
      </c>
      <c r="N81" s="194" t="str">
        <f t="shared" si="4"/>
        <v/>
      </c>
      <c r="O81" s="124" t="str">
        <f t="shared" si="5"/>
        <v/>
      </c>
      <c r="P81" s="124" t="str">
        <f>INDEX('Pricing (Drugs) SS'!$C:$C,MATCH(F81,'Pricing (Drugs) SS'!$A:$A,0))</f>
        <v>RESTRICTED</v>
      </c>
      <c r="Q81" s="124" t="str">
        <f>IF(AND($L$23="Extra DEA Req",S81="X"),"SAFE- CONTROLLED",INDEX('Pricing (Drugs) SS'!$G:$G,MATCH(F81,'Pricing (Drugs) SS'!$A:$A,0)))</f>
        <v>DRUG ROOM</v>
      </c>
      <c r="R81" s="195" t="str">
        <f>INDEX('Pricing (Drugs) SS'!$H:$H,MATCH(F81,'Pricing (Drugs) SS'!$A:$A,0))</f>
        <v>Not on List</v>
      </c>
      <c r="S81" s="195" t="str">
        <f>IF(COUNTIFS('Version and Lists'!$F:$F,F81,'Version and Lists'!$G:$G,$M$22)&gt;0,"X","")</f>
        <v/>
      </c>
    </row>
    <row r="82" spans="1:19" ht="15" customHeight="1" x14ac:dyDescent="0.3">
      <c r="A82" s="185">
        <f>INDEX('Cart Formulary Calculator'!$A$12:$A$433,MATCH(F82,'Cart Formulary Calculator'!$F$12:$F$433,0))</f>
        <v>0</v>
      </c>
      <c r="B82" s="186" t="str">
        <f>INDEX('Pricing (Drugs) SS'!$B:$B,MATCH(F82,'Pricing (Drugs) SS'!$A:$A,0))</f>
        <v>ADRENALIN® (EPINEPHRINE INJECTION, USP) 1mg/mL 1:1000 VIAL</v>
      </c>
      <c r="C82" s="187" t="str">
        <f>INDEX('Pricing (Drugs) SS'!$E:$E,MATCH(F82,'Pricing (Drugs) SS'!$A:$A,0))</f>
        <v>1mg/mL 1:1000</v>
      </c>
      <c r="D82" s="188" t="str">
        <f>INDEX('Pricing (Drugs) SS'!$F:$F,MATCH(F82,'Pricing (Drugs) SS'!$A:$A,0))</f>
        <v>1mL</v>
      </c>
      <c r="E82" s="188" t="str">
        <f>INDEX('Pricing (Drugs) SS'!$D:$D,MATCH(F82,'Pricing (Drugs) SS'!$A:$A,0))</f>
        <v>42023-159-25</v>
      </c>
      <c r="F82" s="189">
        <v>1007670</v>
      </c>
      <c r="G82" s="241">
        <f>INDEX('Pricing (Drugs) SS'!$I:$I,MATCH(F82,'Pricing (Drugs) SS'!$A:$A,0))</f>
        <v>8.1999999999999993</v>
      </c>
      <c r="H82" s="241">
        <f t="shared" si="2"/>
        <v>0</v>
      </c>
      <c r="I82" s="190">
        <f>VLOOKUP(F82,'Price Sheet'!$A:$C,3,FALSE)</f>
        <v>45.99</v>
      </c>
      <c r="J82" s="191"/>
      <c r="K82" s="192">
        <f t="shared" si="6"/>
        <v>45.99</v>
      </c>
      <c r="L82" s="192">
        <f t="shared" si="7"/>
        <v>0</v>
      </c>
      <c r="M82" s="193" t="str">
        <f t="shared" si="3"/>
        <v/>
      </c>
      <c r="N82" s="194" t="str">
        <f t="shared" si="4"/>
        <v/>
      </c>
      <c r="O82" s="124" t="str">
        <f t="shared" si="5"/>
        <v/>
      </c>
      <c r="P82" s="124" t="str">
        <f>INDEX('Pricing (Drugs) SS'!$C:$C,MATCH(F82,'Pricing (Drugs) SS'!$A:$A,0))</f>
        <v>ACTIVE</v>
      </c>
      <c r="Q82" s="124" t="str">
        <f>IF(AND($L$23="Extra DEA Req",S82="X"),"SAFE- CONTROLLED",INDEX('Pricing (Drugs) SS'!$G:$G,MATCH(F82,'Pricing (Drugs) SS'!$A:$A,0)))</f>
        <v>DRUG ROOM</v>
      </c>
      <c r="R82" s="195" t="str">
        <f>INDEX('Pricing (Drugs) SS'!$H:$H,MATCH(F82,'Pricing (Drugs) SS'!$A:$A,0))</f>
        <v>Not on List</v>
      </c>
      <c r="S82" s="195" t="str">
        <f>IF(COUNTIFS('Version and Lists'!$F:$F,F82,'Version and Lists'!$G:$G,$M$22)&gt;0,"X","")</f>
        <v/>
      </c>
    </row>
    <row r="83" spans="1:19" ht="15" customHeight="1" x14ac:dyDescent="0.3">
      <c r="A83" s="185">
        <f>INDEX('Cart Formulary Calculator'!$A$12:$A$433,MATCH(F83,'Cart Formulary Calculator'!$F$12:$F$433,0))</f>
        <v>0</v>
      </c>
      <c r="B83" s="186" t="str">
        <f>INDEX('Pricing (Drugs) SS'!$B:$B,MATCH(F83,'Pricing (Drugs) SS'!$A:$A,0))</f>
        <v>EPINEPHRINE INJ. USP, 0.1 mg/mL 1mg per 10mL LUER-JET™ SYR</v>
      </c>
      <c r="C83" s="187" t="str">
        <f>INDEX('Pricing (Drugs) SS'!$E:$E,MATCH(F83,'Pricing (Drugs) SS'!$A:$A,0))</f>
        <v>0.1 mg/mL</v>
      </c>
      <c r="D83" s="188" t="str">
        <f>INDEX('Pricing (Drugs) SS'!$F:$F,MATCH(F83,'Pricing (Drugs) SS'!$A:$A,0))</f>
        <v>10 mL</v>
      </c>
      <c r="E83" s="188" t="str">
        <f>INDEX('Pricing (Drugs) SS'!$D:$D,MATCH(F83,'Pricing (Drugs) SS'!$A:$A,0))</f>
        <v>76329-3318-1</v>
      </c>
      <c r="F83" s="189">
        <v>1020440</v>
      </c>
      <c r="G83" s="241">
        <f>INDEX('Pricing (Drugs) SS'!$I:$I,MATCH(F83,'Pricing (Drugs) SS'!$A:$A,0))</f>
        <v>15.1</v>
      </c>
      <c r="H83" s="241">
        <f t="shared" si="2"/>
        <v>0</v>
      </c>
      <c r="I83" s="190">
        <f>VLOOKUP(F83,'Price Sheet'!$A:$C,3,FALSE)</f>
        <v>41.99</v>
      </c>
      <c r="J83" s="191"/>
      <c r="K83" s="192">
        <f t="shared" si="6"/>
        <v>41.99</v>
      </c>
      <c r="L83" s="192">
        <f t="shared" si="7"/>
        <v>0</v>
      </c>
      <c r="M83" s="193" t="str">
        <f t="shared" si="3"/>
        <v/>
      </c>
      <c r="N83" s="194" t="str">
        <f t="shared" si="4"/>
        <v/>
      </c>
      <c r="O83" s="124" t="str">
        <f t="shared" si="5"/>
        <v/>
      </c>
      <c r="P83" s="124" t="str">
        <f>INDEX('Pricing (Drugs) SS'!$C:$C,MATCH(F83,'Pricing (Drugs) SS'!$A:$A,0))</f>
        <v>ACTIVE</v>
      </c>
      <c r="Q83" s="124" t="str">
        <f>IF(AND($L$23="Extra DEA Req",S83="X"),"SAFE- CONTROLLED",INDEX('Pricing (Drugs) SS'!$G:$G,MATCH(F83,'Pricing (Drugs) SS'!$A:$A,0)))</f>
        <v>DRUG ROOM</v>
      </c>
      <c r="R83" s="195" t="str">
        <f>INDEX('Pricing (Drugs) SS'!$H:$H,MATCH(F83,'Pricing (Drugs) SS'!$A:$A,0))</f>
        <v>Not on List</v>
      </c>
      <c r="S83" s="195" t="str">
        <f>IF(COUNTIFS('Version and Lists'!$F:$F,F83,'Version and Lists'!$G:$G,$M$22)&gt;0,"X","")</f>
        <v/>
      </c>
    </row>
    <row r="84" spans="1:19" ht="15" customHeight="1" x14ac:dyDescent="0.3">
      <c r="A84" s="185">
        <f>INDEX('Cart Formulary Calculator'!$A$12:$A$433,MATCH(F84,'Cart Formulary Calculator'!$F$12:$F$433,0))</f>
        <v>0</v>
      </c>
      <c r="B84" s="186" t="str">
        <f>INDEX('Pricing (Drugs) SS'!$B:$B,MATCH(F84,'Pricing (Drugs) SS'!$A:$A,0))</f>
        <v>ETOMIDATE INJECTION USP, 20mg/10mL (2mg/mL) 10mL VIAL</v>
      </c>
      <c r="C84" s="187" t="str">
        <f>INDEX('Pricing (Drugs) SS'!$E:$E,MATCH(F84,'Pricing (Drugs) SS'!$A:$A,0))</f>
        <v>20mg/10mL</v>
      </c>
      <c r="D84" s="188" t="str">
        <f>INDEX('Pricing (Drugs) SS'!$F:$F,MATCH(F84,'Pricing (Drugs) SS'!$A:$A,0))</f>
        <v>10mL</v>
      </c>
      <c r="E84" s="188" t="str">
        <f>INDEX('Pricing (Drugs) SS'!$D:$D,MATCH(F84,'Pricing (Drugs) SS'!$A:$A,0))</f>
        <v>55150-221-10</v>
      </c>
      <c r="F84" s="189">
        <v>1020560</v>
      </c>
      <c r="G84" s="241">
        <f>INDEX('Pricing (Drugs) SS'!$I:$I,MATCH(F84,'Pricing (Drugs) SS'!$A:$A,0))</f>
        <v>2.6190000000000002</v>
      </c>
      <c r="H84" s="241">
        <f t="shared" si="2"/>
        <v>0</v>
      </c>
      <c r="I84" s="190">
        <f>VLOOKUP(F84,'Price Sheet'!$A:$C,3,FALSE)</f>
        <v>21.75</v>
      </c>
      <c r="J84" s="191"/>
      <c r="K84" s="192">
        <f t="shared" si="6"/>
        <v>21.75</v>
      </c>
      <c r="L84" s="192">
        <f t="shared" si="7"/>
        <v>0</v>
      </c>
      <c r="M84" s="193" t="str">
        <f t="shared" si="3"/>
        <v/>
      </c>
      <c r="N84" s="194" t="str">
        <f t="shared" si="4"/>
        <v>X</v>
      </c>
      <c r="O84" s="124" t="str">
        <f t="shared" si="5"/>
        <v/>
      </c>
      <c r="P84" s="124" t="str">
        <f>INDEX('Pricing (Drugs) SS'!$C:$C,MATCH(F84,'Pricing (Drugs) SS'!$A:$A,0))</f>
        <v>RESTRICTED</v>
      </c>
      <c r="Q84" s="124" t="str">
        <f>IF(AND($L$23="Extra DEA Req",S84="X"),"SAFE- CONTROLLED",INDEX('Pricing (Drugs) SS'!$G:$G,MATCH(F84,'Pricing (Drugs) SS'!$A:$A,0)))</f>
        <v>DRUG ROOM</v>
      </c>
      <c r="R84" s="195" t="str">
        <f>INDEX('Pricing (Drugs) SS'!$H:$H,MATCH(F84,'Pricing (Drugs) SS'!$A:$A,0))</f>
        <v>Lethal Injection Drug</v>
      </c>
      <c r="S84" s="195" t="str">
        <f>IF(COUNTIFS('Version and Lists'!$F:$F,F84,'Version and Lists'!$G:$G,$M$22)&gt;0,"X","")</f>
        <v/>
      </c>
    </row>
    <row r="85" spans="1:19" ht="15" customHeight="1" x14ac:dyDescent="0.3">
      <c r="A85" s="185">
        <f>INDEX('Cart Formulary Calculator'!$A$12:$A$433,MATCH(F85,'Cart Formulary Calculator'!$F$12:$F$433,0))</f>
        <v>0</v>
      </c>
      <c r="B85" s="186" t="str">
        <f>INDEX('Pricing (Drugs) SS'!$B:$B,MATCH(F85,'Pricing (Drugs) SS'!$A:$A,0))</f>
        <v>ETOMIDATE INJECTION, USP 40mg PER 20mL (2mg/mL) 20mL VIAL</v>
      </c>
      <c r="C85" s="187" t="str">
        <f>INDEX('Pricing (Drugs) SS'!$E:$E,MATCH(F85,'Pricing (Drugs) SS'!$A:$A,0))</f>
        <v>2mg/mL</v>
      </c>
      <c r="D85" s="188" t="str">
        <f>INDEX('Pricing (Drugs) SS'!$F:$F,MATCH(F85,'Pricing (Drugs) SS'!$A:$A,0))</f>
        <v>20mL</v>
      </c>
      <c r="E85" s="188" t="str">
        <f>INDEX('Pricing (Drugs) SS'!$D:$D,MATCH(F85,'Pricing (Drugs) SS'!$A:$A,0))</f>
        <v>55150-222-20</v>
      </c>
      <c r="F85" s="189">
        <v>1016160</v>
      </c>
      <c r="G85" s="241">
        <f>INDEX('Pricing (Drugs) SS'!$I:$I,MATCH(F85,'Pricing (Drugs) SS'!$A:$A,0))</f>
        <v>3.6</v>
      </c>
      <c r="H85" s="241">
        <f t="shared" si="2"/>
        <v>0</v>
      </c>
      <c r="I85" s="190">
        <f>VLOOKUP(F85,'Price Sheet'!$A:$C,3,FALSE)</f>
        <v>24.48</v>
      </c>
      <c r="J85" s="191"/>
      <c r="K85" s="192">
        <f t="shared" si="6"/>
        <v>24.48</v>
      </c>
      <c r="L85" s="192">
        <f t="shared" si="7"/>
        <v>0</v>
      </c>
      <c r="M85" s="193" t="str">
        <f t="shared" si="3"/>
        <v/>
      </c>
      <c r="N85" s="194" t="str">
        <f t="shared" si="4"/>
        <v>X</v>
      </c>
      <c r="O85" s="124" t="str">
        <f t="shared" si="5"/>
        <v/>
      </c>
      <c r="P85" s="124" t="str">
        <f>INDEX('Pricing (Drugs) SS'!$C:$C,MATCH(F85,'Pricing (Drugs) SS'!$A:$A,0))</f>
        <v>RESTRICTED</v>
      </c>
      <c r="Q85" s="124" t="str">
        <f>IF(AND($L$23="Extra DEA Req",S85="X"),"SAFE- CONTROLLED",INDEX('Pricing (Drugs) SS'!$G:$G,MATCH(F85,'Pricing (Drugs) SS'!$A:$A,0)))</f>
        <v>DRUG ROOM</v>
      </c>
      <c r="R85" s="195" t="str">
        <f>INDEX('Pricing (Drugs) SS'!$H:$H,MATCH(F85,'Pricing (Drugs) SS'!$A:$A,0))</f>
        <v>Lethal Injection Drug</v>
      </c>
      <c r="S85" s="195" t="str">
        <f>IF(COUNTIFS('Version and Lists'!$F:$F,F85,'Version and Lists'!$G:$G,$M$22)&gt;0,"X","")</f>
        <v/>
      </c>
    </row>
    <row r="86" spans="1:19" ht="15" customHeight="1" x14ac:dyDescent="0.3">
      <c r="A86" s="185">
        <f>INDEX('Cart Formulary Calculator'!$A$12:$A$433,MATCH(F86,'Cart Formulary Calculator'!$F$12:$F$433,0))</f>
        <v>0</v>
      </c>
      <c r="B86" s="186" t="str">
        <f>INDEX('Pricing (Drugs) SS'!$B:$B,MATCH(F86,'Pricing (Drugs) SS'!$A:$A,0))</f>
        <v>FAMOTIDINE INJECTION, USP 20 mg/2mL 2mL VIAL</v>
      </c>
      <c r="C86" s="187" t="str">
        <f>INDEX('Pricing (Drugs) SS'!$E:$E,MATCH(F86,'Pricing (Drugs) SS'!$A:$A,0))</f>
        <v>10mg/mL</v>
      </c>
      <c r="D86" s="188" t="str">
        <f>INDEX('Pricing (Drugs) SS'!$F:$F,MATCH(F86,'Pricing (Drugs) SS'!$A:$A,0))</f>
        <v>2mL</v>
      </c>
      <c r="E86" s="188" t="str">
        <f>INDEX('Pricing (Drugs) SS'!$D:$D,MATCH(F86,'Pricing (Drugs) SS'!$A:$A,0))</f>
        <v>63323-739-12</v>
      </c>
      <c r="F86" s="189">
        <v>1012230</v>
      </c>
      <c r="G86" s="241">
        <f>INDEX('Pricing (Drugs) SS'!$I:$I,MATCH(F86,'Pricing (Drugs) SS'!$A:$A,0))</f>
        <v>0.9</v>
      </c>
      <c r="H86" s="241">
        <f t="shared" si="2"/>
        <v>0</v>
      </c>
      <c r="I86" s="190">
        <f>VLOOKUP(F86,'Price Sheet'!$A:$C,3,FALSE)</f>
        <v>9.99</v>
      </c>
      <c r="J86" s="191"/>
      <c r="K86" s="192">
        <f t="shared" si="6"/>
        <v>9.99</v>
      </c>
      <c r="L86" s="192">
        <f t="shared" si="7"/>
        <v>0</v>
      </c>
      <c r="M86" s="193" t="str">
        <f t="shared" si="3"/>
        <v>C</v>
      </c>
      <c r="N86" s="194" t="str">
        <f t="shared" si="4"/>
        <v/>
      </c>
      <c r="O86" s="124" t="str">
        <f t="shared" si="5"/>
        <v/>
      </c>
      <c r="P86" s="124" t="str">
        <f>INDEX('Pricing (Drugs) SS'!$C:$C,MATCH(F86,'Pricing (Drugs) SS'!$A:$A,0))</f>
        <v>RESTRICTED</v>
      </c>
      <c r="Q86" s="124" t="str">
        <f>IF(AND($L$23="Extra DEA Req",S86="X"),"SAFE- CONTROLLED",INDEX('Pricing (Drugs) SS'!$G:$G,MATCH(F86,'Pricing (Drugs) SS'!$A:$A,0)))</f>
        <v>REFRIGERATED</v>
      </c>
      <c r="R86" s="195" t="str">
        <f>INDEX('Pricing (Drugs) SS'!$H:$H,MATCH(F86,'Pricing (Drugs) SS'!$A:$A,0))</f>
        <v>Not on List</v>
      </c>
      <c r="S86" s="195" t="str">
        <f>IF(COUNTIFS('Version and Lists'!$F:$F,F86,'Version and Lists'!$G:$G,$M$22)&gt;0,"X","")</f>
        <v/>
      </c>
    </row>
    <row r="87" spans="1:19" ht="15" customHeight="1" x14ac:dyDescent="0.3">
      <c r="A87" s="185">
        <f>INDEX('Cart Formulary Calculator'!$A$12:$A$433,MATCH(F87,'Cart Formulary Calculator'!$F$12:$F$433,0))</f>
        <v>0</v>
      </c>
      <c r="B87" s="186" t="str">
        <f>INDEX('Pricing (Drugs) SS'!$B:$B,MATCH(F87,'Pricing (Drugs) SS'!$A:$A,0))</f>
        <v>FLUMAZENIL INJECTION, USP 0.5mg/5mL (0.1mg/mL) VIAL</v>
      </c>
      <c r="C87" s="187" t="str">
        <f>INDEX('Pricing (Drugs) SS'!$E:$E,MATCH(F87,'Pricing (Drugs) SS'!$A:$A,0))</f>
        <v>0.1mg/mL</v>
      </c>
      <c r="D87" s="188" t="str">
        <f>INDEX('Pricing (Drugs) SS'!$F:$F,MATCH(F87,'Pricing (Drugs) SS'!$A:$A,0))</f>
        <v>5mL</v>
      </c>
      <c r="E87" s="188" t="str">
        <f>INDEX('Pricing (Drugs) SS'!$D:$D,MATCH(F87,'Pricing (Drugs) SS'!$A:$A,0))</f>
        <v>0143-9784-10</v>
      </c>
      <c r="F87" s="189">
        <v>1000570</v>
      </c>
      <c r="G87" s="241">
        <f>INDEX('Pricing (Drugs) SS'!$I:$I,MATCH(F87,'Pricing (Drugs) SS'!$A:$A,0))</f>
        <v>2.879</v>
      </c>
      <c r="H87" s="241">
        <f t="shared" si="2"/>
        <v>0</v>
      </c>
      <c r="I87" s="190">
        <f>VLOOKUP(F87,'Price Sheet'!$A:$C,3,FALSE)</f>
        <v>26</v>
      </c>
      <c r="J87" s="191"/>
      <c r="K87" s="192">
        <f t="shared" si="6"/>
        <v>26</v>
      </c>
      <c r="L87" s="192">
        <f t="shared" si="7"/>
        <v>0</v>
      </c>
      <c r="M87" s="193" t="str">
        <f t="shared" si="3"/>
        <v/>
      </c>
      <c r="N87" s="194" t="str">
        <f t="shared" si="4"/>
        <v/>
      </c>
      <c r="O87" s="124" t="str">
        <f t="shared" si="5"/>
        <v/>
      </c>
      <c r="P87" s="124" t="str">
        <f>INDEX('Pricing (Drugs) SS'!$C:$C,MATCH(F87,'Pricing (Drugs) SS'!$A:$A,0))</f>
        <v>ACTIVE</v>
      </c>
      <c r="Q87" s="124" t="str">
        <f>IF(AND($L$23="Extra DEA Req",S87="X"),"SAFE- CONTROLLED",INDEX('Pricing (Drugs) SS'!$G:$G,MATCH(F87,'Pricing (Drugs) SS'!$A:$A,0)))</f>
        <v>DRUG ROOM</v>
      </c>
      <c r="R87" s="195" t="str">
        <f>INDEX('Pricing (Drugs) SS'!$H:$H,MATCH(F87,'Pricing (Drugs) SS'!$A:$A,0))</f>
        <v>Not on List</v>
      </c>
      <c r="S87" s="195" t="str">
        <f>IF(COUNTIFS('Version and Lists'!$F:$F,F87,'Version and Lists'!$G:$G,$M$22)&gt;0,"X","")</f>
        <v/>
      </c>
    </row>
    <row r="88" spans="1:19" ht="15" customHeight="1" x14ac:dyDescent="0.3">
      <c r="A88" s="185">
        <f>INDEX('Cart Formulary Calculator'!$A$12:$A$433,MATCH(F88,'Cart Formulary Calculator'!$F$12:$F$433,0))</f>
        <v>0</v>
      </c>
      <c r="B88" s="186" t="str">
        <f>INDEX('Pricing (Drugs) SS'!$B:$B,MATCH(F88,'Pricing (Drugs) SS'!$A:$A,0))</f>
        <v>FLUMAZENIL INJECTION, USP 1mg/10mL (0.1 mg/mL) VIAL</v>
      </c>
      <c r="C88" s="187" t="str">
        <f>INDEX('Pricing (Drugs) SS'!$E:$E,MATCH(F88,'Pricing (Drugs) SS'!$A:$A,0))</f>
        <v>0.1 mg/mL</v>
      </c>
      <c r="D88" s="188" t="str">
        <f>INDEX('Pricing (Drugs) SS'!$F:$F,MATCH(F88,'Pricing (Drugs) SS'!$A:$A,0))</f>
        <v>10mL</v>
      </c>
      <c r="E88" s="188" t="str">
        <f>INDEX('Pricing (Drugs) SS'!$D:$D,MATCH(F88,'Pricing (Drugs) SS'!$A:$A,0))</f>
        <v>0143-9783-10</v>
      </c>
      <c r="F88" s="189">
        <v>1000560</v>
      </c>
      <c r="G88" s="241">
        <f>INDEX('Pricing (Drugs) SS'!$I:$I,MATCH(F88,'Pricing (Drugs) SS'!$A:$A,0))</f>
        <v>6.7990000000000004</v>
      </c>
      <c r="H88" s="241">
        <f t="shared" si="2"/>
        <v>0</v>
      </c>
      <c r="I88" s="190">
        <f>VLOOKUP(F88,'Price Sheet'!$A:$C,3,FALSE)</f>
        <v>37.450000000000003</v>
      </c>
      <c r="J88" s="191"/>
      <c r="K88" s="192">
        <f t="shared" si="6"/>
        <v>37.450000000000003</v>
      </c>
      <c r="L88" s="192">
        <f t="shared" si="7"/>
        <v>0</v>
      </c>
      <c r="M88" s="193" t="str">
        <f t="shared" si="3"/>
        <v/>
      </c>
      <c r="N88" s="194" t="str">
        <f t="shared" si="4"/>
        <v/>
      </c>
      <c r="O88" s="124" t="str">
        <f t="shared" si="5"/>
        <v/>
      </c>
      <c r="P88" s="124" t="str">
        <f>INDEX('Pricing (Drugs) SS'!$C:$C,MATCH(F88,'Pricing (Drugs) SS'!$A:$A,0))</f>
        <v>ACTIVE</v>
      </c>
      <c r="Q88" s="124" t="str">
        <f>IF(AND($L$23="Extra DEA Req",S88="X"),"SAFE- CONTROLLED",INDEX('Pricing (Drugs) SS'!$G:$G,MATCH(F88,'Pricing (Drugs) SS'!$A:$A,0)))</f>
        <v>DRUG ROOM</v>
      </c>
      <c r="R88" s="195" t="str">
        <f>INDEX('Pricing (Drugs) SS'!$H:$H,MATCH(F88,'Pricing (Drugs) SS'!$A:$A,0))</f>
        <v>Not on List</v>
      </c>
      <c r="S88" s="195" t="str">
        <f>IF(COUNTIFS('Version and Lists'!$F:$F,F88,'Version and Lists'!$G:$G,$M$22)&gt;0,"X","")</f>
        <v/>
      </c>
    </row>
    <row r="89" spans="1:19" ht="15" customHeight="1" x14ac:dyDescent="0.3">
      <c r="A89" s="185">
        <f>INDEX('Cart Formulary Calculator'!$A$12:$A$433,MATCH(F89,'Cart Formulary Calculator'!$F$12:$F$433,0))</f>
        <v>0</v>
      </c>
      <c r="B89" s="186" t="str">
        <f>INDEX('Pricing (Drugs) SS'!$B:$B,MATCH(F89,'Pricing (Drugs) SS'!$A:$A,0))</f>
        <v>FUROSEMIDE INJECTION, USP 20mg PER 2mL (10mg PER mL) 2mL VIAL</v>
      </c>
      <c r="C89" s="187" t="str">
        <f>INDEX('Pricing (Drugs) SS'!$E:$E,MATCH(F89,'Pricing (Drugs) SS'!$A:$A,0))</f>
        <v>10mg/mL</v>
      </c>
      <c r="D89" s="188" t="str">
        <f>INDEX('Pricing (Drugs) SS'!$F:$F,MATCH(F89,'Pricing (Drugs) SS'!$A:$A,0))</f>
        <v>2mL</v>
      </c>
      <c r="E89" s="188" t="str">
        <f>INDEX('Pricing (Drugs) SS'!$D:$D,MATCH(F89,'Pricing (Drugs) SS'!$A:$A,0))</f>
        <v>63323-280-02</v>
      </c>
      <c r="F89" s="189">
        <v>1016580</v>
      </c>
      <c r="G89" s="241">
        <f>INDEX('Pricing (Drugs) SS'!$I:$I,MATCH(F89,'Pricing (Drugs) SS'!$A:$A,0))</f>
        <v>2.1</v>
      </c>
      <c r="H89" s="241">
        <f t="shared" si="2"/>
        <v>0</v>
      </c>
      <c r="I89" s="190">
        <f>VLOOKUP(F89,'Price Sheet'!$A:$C,3,FALSE)</f>
        <v>20.55</v>
      </c>
      <c r="J89" s="191"/>
      <c r="K89" s="192">
        <f t="shared" si="6"/>
        <v>20.55</v>
      </c>
      <c r="L89" s="192">
        <f t="shared" si="7"/>
        <v>0</v>
      </c>
      <c r="M89" s="193" t="str">
        <f t="shared" si="3"/>
        <v/>
      </c>
      <c r="N89" s="194" t="str">
        <f t="shared" si="4"/>
        <v/>
      </c>
      <c r="O89" s="124" t="str">
        <f t="shared" si="5"/>
        <v/>
      </c>
      <c r="P89" s="124" t="str">
        <f>INDEX('Pricing (Drugs) SS'!$C:$C,MATCH(F89,'Pricing (Drugs) SS'!$A:$A,0))</f>
        <v>ACTIVE</v>
      </c>
      <c r="Q89" s="124" t="str">
        <f>IF(AND($L$23="Extra DEA Req",S89="X"),"SAFE- CONTROLLED",INDEX('Pricing (Drugs) SS'!$G:$G,MATCH(F89,'Pricing (Drugs) SS'!$A:$A,0)))</f>
        <v>DRUG ROOM</v>
      </c>
      <c r="R89" s="195" t="str">
        <f>INDEX('Pricing (Drugs) SS'!$H:$H,MATCH(F89,'Pricing (Drugs) SS'!$A:$A,0))</f>
        <v>Not on List</v>
      </c>
      <c r="S89" s="195" t="str">
        <f>IF(COUNTIFS('Version and Lists'!$F:$F,F89,'Version and Lists'!$G:$G,$M$22)&gt;0,"X","")</f>
        <v/>
      </c>
    </row>
    <row r="90" spans="1:19" ht="15" customHeight="1" x14ac:dyDescent="0.3">
      <c r="A90" s="185">
        <f>INDEX('Cart Formulary Calculator'!$A$12:$A$433,MATCH(F90,'Cart Formulary Calculator'!$F$12:$F$433,0))</f>
        <v>0</v>
      </c>
      <c r="B90" s="186" t="str">
        <f>INDEX('Pricing (Drugs) SS'!$B:$B,MATCH(F90,'Pricing (Drugs) SS'!$A:$A,0))</f>
        <v>FUROSEMIDE INJECTION, USP 40mg PER 4mL (10mg PER mL) 4mL VIAL</v>
      </c>
      <c r="C90" s="187" t="str">
        <f>INDEX('Pricing (Drugs) SS'!$E:$E,MATCH(F90,'Pricing (Drugs) SS'!$A:$A,0))</f>
        <v>10mg/mL</v>
      </c>
      <c r="D90" s="188" t="str">
        <f>INDEX('Pricing (Drugs) SS'!$F:$F,MATCH(F90,'Pricing (Drugs) SS'!$A:$A,0))</f>
        <v>4mL</v>
      </c>
      <c r="E90" s="188" t="str">
        <f>INDEX('Pricing (Drugs) SS'!$D:$D,MATCH(F90,'Pricing (Drugs) SS'!$A:$A,0))</f>
        <v>63323-280-04</v>
      </c>
      <c r="F90" s="189">
        <v>1016590</v>
      </c>
      <c r="G90" s="241">
        <f>INDEX('Pricing (Drugs) SS'!$I:$I,MATCH(F90,'Pricing (Drugs) SS'!$A:$A,0))</f>
        <v>2.8</v>
      </c>
      <c r="H90" s="241">
        <f t="shared" si="2"/>
        <v>0</v>
      </c>
      <c r="I90" s="190">
        <f>VLOOKUP(F90,'Price Sheet'!$A:$C,3,FALSE)</f>
        <v>25.5</v>
      </c>
      <c r="J90" s="191"/>
      <c r="K90" s="192">
        <f t="shared" si="6"/>
        <v>25.5</v>
      </c>
      <c r="L90" s="192">
        <f t="shared" si="7"/>
        <v>0</v>
      </c>
      <c r="M90" s="193" t="str">
        <f t="shared" si="3"/>
        <v/>
      </c>
      <c r="N90" s="194" t="str">
        <f t="shared" si="4"/>
        <v/>
      </c>
      <c r="O90" s="124" t="str">
        <f t="shared" si="5"/>
        <v/>
      </c>
      <c r="P90" s="124" t="str">
        <f>INDEX('Pricing (Drugs) SS'!$C:$C,MATCH(F90,'Pricing (Drugs) SS'!$A:$A,0))</f>
        <v>ACTIVE</v>
      </c>
      <c r="Q90" s="124" t="str">
        <f>IF(AND($L$23="Extra DEA Req",S90="X"),"SAFE- CONTROLLED",INDEX('Pricing (Drugs) SS'!$G:$G,MATCH(F90,'Pricing (Drugs) SS'!$A:$A,0)))</f>
        <v>DRUG ROOM</v>
      </c>
      <c r="R90" s="195" t="str">
        <f>INDEX('Pricing (Drugs) SS'!$H:$H,MATCH(F90,'Pricing (Drugs) SS'!$A:$A,0))</f>
        <v>Not on List</v>
      </c>
      <c r="S90" s="195" t="str">
        <f>IF(COUNTIFS('Version and Lists'!$F:$F,F90,'Version and Lists'!$G:$G,$M$22)&gt;0,"X","")</f>
        <v/>
      </c>
    </row>
    <row r="91" spans="1:19" ht="15" customHeight="1" x14ac:dyDescent="0.3">
      <c r="A91" s="185">
        <f>INDEX('Cart Formulary Calculator'!$A$12:$A$433,MATCH(F91,'Cart Formulary Calculator'!$F$12:$F$433,0))</f>
        <v>0</v>
      </c>
      <c r="B91" s="186" t="str">
        <f>INDEX('Pricing (Drugs) SS'!$B:$B,MATCH(F91,'Pricing (Drugs) SS'!$A:$A,0))</f>
        <v>FUROSEMIDE INJECTION, USP 100mg PER 10mL (10mg PER mL) 10mL VIAL</v>
      </c>
      <c r="C91" s="187" t="str">
        <f>INDEX('Pricing (Drugs) SS'!$E:$E,MATCH(F91,'Pricing (Drugs) SS'!$A:$A,0))</f>
        <v>10mg/mL</v>
      </c>
      <c r="D91" s="188" t="str">
        <f>INDEX('Pricing (Drugs) SS'!$F:$F,MATCH(F91,'Pricing (Drugs) SS'!$A:$A,0))</f>
        <v>10mL</v>
      </c>
      <c r="E91" s="188" t="str">
        <f>INDEX('Pricing (Drugs) SS'!$D:$D,MATCH(F91,'Pricing (Drugs) SS'!$A:$A,0))</f>
        <v>63323-280-10</v>
      </c>
      <c r="F91" s="189">
        <v>1016570</v>
      </c>
      <c r="G91" s="241">
        <f>INDEX('Pricing (Drugs) SS'!$I:$I,MATCH(F91,'Pricing (Drugs) SS'!$A:$A,0))</f>
        <v>3.2</v>
      </c>
      <c r="H91" s="241">
        <f t="shared" si="2"/>
        <v>0</v>
      </c>
      <c r="I91" s="190">
        <f>VLOOKUP(F91,'Price Sheet'!$A:$C,3,FALSE)</f>
        <v>27.5</v>
      </c>
      <c r="J91" s="191"/>
      <c r="K91" s="192">
        <f t="shared" si="6"/>
        <v>27.5</v>
      </c>
      <c r="L91" s="192">
        <f t="shared" si="7"/>
        <v>0</v>
      </c>
      <c r="M91" s="193" t="str">
        <f t="shared" si="3"/>
        <v/>
      </c>
      <c r="N91" s="194" t="str">
        <f t="shared" si="4"/>
        <v/>
      </c>
      <c r="O91" s="124" t="str">
        <f t="shared" si="5"/>
        <v/>
      </c>
      <c r="P91" s="124" t="str">
        <f>INDEX('Pricing (Drugs) SS'!$C:$C,MATCH(F91,'Pricing (Drugs) SS'!$A:$A,0))</f>
        <v>ACTIVE</v>
      </c>
      <c r="Q91" s="124" t="str">
        <f>IF(AND($L$23="Extra DEA Req",S91="X"),"SAFE- CONTROLLED",INDEX('Pricing (Drugs) SS'!$G:$G,MATCH(F91,'Pricing (Drugs) SS'!$A:$A,0)))</f>
        <v>DRUG ROOM</v>
      </c>
      <c r="R91" s="195" t="str">
        <f>INDEX('Pricing (Drugs) SS'!$H:$H,MATCH(F91,'Pricing (Drugs) SS'!$A:$A,0))</f>
        <v>Not on List</v>
      </c>
      <c r="S91" s="195" t="str">
        <f>IF(COUNTIFS('Version and Lists'!$F:$F,F91,'Version and Lists'!$G:$G,$M$22)&gt;0,"X","")</f>
        <v/>
      </c>
    </row>
    <row r="92" spans="1:19" ht="15" customHeight="1" x14ac:dyDescent="0.3">
      <c r="A92" s="185">
        <f>INDEX('Cart Formulary Calculator'!$A$12:$A$433,MATCH(F92,'Cart Formulary Calculator'!$F$12:$F$433,0))</f>
        <v>0</v>
      </c>
      <c r="B92" s="186" t="str">
        <f>INDEX('Pricing (Drugs) SS'!$B:$B,MATCH(F92,'Pricing (Drugs) SS'!$A:$A,0))</f>
        <v>TRANSCEND 15g GLUCOSE GEL POUCH</v>
      </c>
      <c r="C92" s="187" t="str">
        <f>INDEX('Pricing (Drugs) SS'!$E:$E,MATCH(F92,'Pricing (Drugs) SS'!$A:$A,0))</f>
        <v>15 Gram Strength</v>
      </c>
      <c r="D92" s="188" t="str">
        <f>INDEX('Pricing (Drugs) SS'!$F:$F,MATCH(F92,'Pricing (Drugs) SS'!$A:$A,0))</f>
        <v>31gm</v>
      </c>
      <c r="E92" s="188" t="str">
        <f>INDEX('Pricing (Drugs) SS'!$D:$D,MATCH(F92,'Pricing (Drugs) SS'!$A:$A,0))</f>
        <v>N/A</v>
      </c>
      <c r="F92" s="189">
        <v>1025070</v>
      </c>
      <c r="G92" s="241">
        <f>INDEX('Pricing (Drugs) SS'!$I:$I,MATCH(F92,'Pricing (Drugs) SS'!$A:$A,0))</f>
        <v>1.38946666666667</v>
      </c>
      <c r="H92" s="241">
        <f t="shared" si="2"/>
        <v>0</v>
      </c>
      <c r="I92" s="190">
        <f>VLOOKUP(F92,'Price Sheet'!$A:$C,3,FALSE)</f>
        <v>9.23</v>
      </c>
      <c r="J92" s="191"/>
      <c r="K92" s="192">
        <f t="shared" si="6"/>
        <v>9.23</v>
      </c>
      <c r="L92" s="192">
        <f t="shared" si="7"/>
        <v>0</v>
      </c>
      <c r="M92" s="193" t="str">
        <f t="shared" si="3"/>
        <v/>
      </c>
      <c r="N92" s="194" t="str">
        <f t="shared" si="4"/>
        <v/>
      </c>
      <c r="O92" s="124" t="str">
        <f t="shared" si="5"/>
        <v/>
      </c>
      <c r="P92" s="124" t="str">
        <f>INDEX('Pricing (Drugs) SS'!$C:$C,MATCH(F92,'Pricing (Drugs) SS'!$A:$A,0))</f>
        <v>ACTIVE</v>
      </c>
      <c r="Q92" s="124" t="str">
        <f>IF(AND($L$23="Extra DEA Req",S92="X"),"SAFE- CONTROLLED",INDEX('Pricing (Drugs) SS'!$G:$G,MATCH(F92,'Pricing (Drugs) SS'!$A:$A,0)))</f>
        <v>DRUG ROOM</v>
      </c>
      <c r="R92" s="195" t="str">
        <f>INDEX('Pricing (Drugs) SS'!$H:$H,MATCH(F92,'Pricing (Drugs) SS'!$A:$A,0))</f>
        <v>Not on List</v>
      </c>
      <c r="S92" s="195" t="str">
        <f>IF(COUNTIFS('Version and Lists'!$F:$F,F92,'Version and Lists'!$G:$G,$M$22)&gt;0,"X","")</f>
        <v/>
      </c>
    </row>
    <row r="93" spans="1:19" ht="15" customHeight="1" x14ac:dyDescent="0.3">
      <c r="A93" s="185">
        <f>INDEX('Cart Formulary Calculator'!$A$12:$A$433,MATCH(F93,'Cart Formulary Calculator'!$F$12:$F$433,0))</f>
        <v>0</v>
      </c>
      <c r="B93" s="186" t="str">
        <f>INDEX('Pricing (Drugs) SS'!$B:$B,MATCH(F93,'Pricing (Drugs) SS'!$A:$A,0))</f>
        <v>GLYCOPYRROLATE INJECTION, USP 0.2mg/mL CONTAINS BENZYL ALCOHOL 1mL VIAL</v>
      </c>
      <c r="C93" s="187" t="str">
        <f>INDEX('Pricing (Drugs) SS'!$E:$E,MATCH(F93,'Pricing (Drugs) SS'!$A:$A,0))</f>
        <v>0.2mg/mL</v>
      </c>
      <c r="D93" s="188" t="str">
        <f>INDEX('Pricing (Drugs) SS'!$F:$F,MATCH(F93,'Pricing (Drugs) SS'!$A:$A,0))</f>
        <v>1mL</v>
      </c>
      <c r="E93" s="188" t="str">
        <f>INDEX('Pricing (Drugs) SS'!$D:$D,MATCH(F93,'Pricing (Drugs) SS'!$A:$A,0))</f>
        <v>0143-9682-25</v>
      </c>
      <c r="F93" s="189">
        <v>1013070</v>
      </c>
      <c r="G93" s="241">
        <f>INDEX('Pricing (Drugs) SS'!$I:$I,MATCH(F93,'Pricing (Drugs) SS'!$A:$A,0))</f>
        <v>0.58919999999999995</v>
      </c>
      <c r="H93" s="241">
        <f t="shared" si="2"/>
        <v>0</v>
      </c>
      <c r="I93" s="190">
        <f>VLOOKUP(F93,'Price Sheet'!$A:$C,3,FALSE)</f>
        <v>15.95</v>
      </c>
      <c r="J93" s="191"/>
      <c r="K93" s="192">
        <f t="shared" ref="K93:K123" si="8">J93+I93</f>
        <v>15.95</v>
      </c>
      <c r="L93" s="192">
        <f t="shared" ref="L93:L123" si="9">IFERROR(K93*A93,"")</f>
        <v>0</v>
      </c>
      <c r="M93" s="193" t="str">
        <f t="shared" si="3"/>
        <v/>
      </c>
      <c r="N93" s="194" t="str">
        <f t="shared" si="4"/>
        <v/>
      </c>
      <c r="O93" s="124" t="str">
        <f t="shared" si="5"/>
        <v/>
      </c>
      <c r="P93" s="124" t="str">
        <f>INDEX('Pricing (Drugs) SS'!$C:$C,MATCH(F93,'Pricing (Drugs) SS'!$A:$A,0))</f>
        <v>ACTIVE</v>
      </c>
      <c r="Q93" s="124" t="str">
        <f>IF(AND($L$23="Extra DEA Req",S93="X"),"SAFE- CONTROLLED",INDEX('Pricing (Drugs) SS'!$G:$G,MATCH(F93,'Pricing (Drugs) SS'!$A:$A,0)))</f>
        <v>DRUG ROOM</v>
      </c>
      <c r="R93" s="195" t="str">
        <f>INDEX('Pricing (Drugs) SS'!$H:$H,MATCH(F93,'Pricing (Drugs) SS'!$A:$A,0))</f>
        <v>Not on List</v>
      </c>
      <c r="S93" s="195" t="str">
        <f>IF(COUNTIFS('Version and Lists'!$F:$F,F93,'Version and Lists'!$G:$G,$M$22)&gt;0,"X","")</f>
        <v/>
      </c>
    </row>
    <row r="94" spans="1:19" ht="15" customHeight="1" x14ac:dyDescent="0.3">
      <c r="A94" s="185">
        <f>INDEX('Cart Formulary Calculator'!$A$12:$A$433,MATCH(F94,'Cart Formulary Calculator'!$F$12:$F$433,0))</f>
        <v>0</v>
      </c>
      <c r="B94" s="186" t="str">
        <f>INDEX('Pricing (Drugs) SS'!$B:$B,MATCH(F94,'Pricing (Drugs) SS'!$A:$A,0))</f>
        <v>GLYCOPYRROLATE INJECTION, USP 1mg/5mL (0.2mg/mL) 5mL VIAL</v>
      </c>
      <c r="C94" s="187" t="str">
        <f>INDEX('Pricing (Drugs) SS'!$E:$E,MATCH(F94,'Pricing (Drugs) SS'!$A:$A,0))</f>
        <v>0.2mg/mL</v>
      </c>
      <c r="D94" s="188" t="str">
        <f>INDEX('Pricing (Drugs) SS'!$F:$F,MATCH(F94,'Pricing (Drugs) SS'!$A:$A,0))</f>
        <v>5mL</v>
      </c>
      <c r="E94" s="188" t="str">
        <f>INDEX('Pricing (Drugs) SS'!$D:$D,MATCH(F94,'Pricing (Drugs) SS'!$A:$A,0))</f>
        <v>0143-9680-25</v>
      </c>
      <c r="F94" s="189">
        <v>1018040</v>
      </c>
      <c r="G94" s="241">
        <f>INDEX('Pricing (Drugs) SS'!$I:$I,MATCH(F94,'Pricing (Drugs) SS'!$A:$A,0))</f>
        <v>2.12</v>
      </c>
      <c r="H94" s="241">
        <f t="shared" si="2"/>
        <v>0</v>
      </c>
      <c r="I94" s="190">
        <f>VLOOKUP(F94,'Price Sheet'!$A:$C,3,FALSE)</f>
        <v>25.99</v>
      </c>
      <c r="J94" s="191"/>
      <c r="K94" s="192">
        <f t="shared" si="8"/>
        <v>25.99</v>
      </c>
      <c r="L94" s="192">
        <f t="shared" si="9"/>
        <v>0</v>
      </c>
      <c r="M94" s="193" t="str">
        <f t="shared" si="3"/>
        <v/>
      </c>
      <c r="N94" s="194" t="str">
        <f t="shared" si="4"/>
        <v/>
      </c>
      <c r="O94" s="124" t="str">
        <f t="shared" si="5"/>
        <v/>
      </c>
      <c r="P94" s="124" t="str">
        <f>INDEX('Pricing (Drugs) SS'!$C:$C,MATCH(F94,'Pricing (Drugs) SS'!$A:$A,0))</f>
        <v>ACTIVE</v>
      </c>
      <c r="Q94" s="124" t="str">
        <f>IF(AND($L$23="Extra DEA Req",S94="X"),"SAFE- CONTROLLED",INDEX('Pricing (Drugs) SS'!$G:$G,MATCH(F94,'Pricing (Drugs) SS'!$A:$A,0)))</f>
        <v>DRUG ROOM</v>
      </c>
      <c r="R94" s="195" t="str">
        <f>INDEX('Pricing (Drugs) SS'!$H:$H,MATCH(F94,'Pricing (Drugs) SS'!$A:$A,0))</f>
        <v>Not on List</v>
      </c>
      <c r="S94" s="195" t="str">
        <f>IF(COUNTIFS('Version and Lists'!$F:$F,F94,'Version and Lists'!$G:$G,$M$22)&gt;0,"X","")</f>
        <v/>
      </c>
    </row>
    <row r="95" spans="1:19" ht="15" customHeight="1" x14ac:dyDescent="0.3">
      <c r="A95" s="185">
        <f>INDEX('Cart Formulary Calculator'!$A$12:$A$433,MATCH(F95,'Cart Formulary Calculator'!$F$12:$F$433,0))</f>
        <v>0</v>
      </c>
      <c r="B95" s="186" t="str">
        <f>INDEX('Pricing (Drugs) SS'!$B:$B,MATCH(F95,'Pricing (Drugs) SS'!$A:$A,0))</f>
        <v>6% HETASTARCH IN 0.9% SODIUM CHLORIDE INJECTION 500mL BAG</v>
      </c>
      <c r="C95" s="187" t="str">
        <f>INDEX('Pricing (Drugs) SS'!$E:$E,MATCH(F95,'Pricing (Drugs) SS'!$A:$A,0))</f>
        <v>9mg/mL ;6%</v>
      </c>
      <c r="D95" s="188" t="str">
        <f>INDEX('Pricing (Drugs) SS'!$F:$F,MATCH(F95,'Pricing (Drugs) SS'!$A:$A,0))</f>
        <v>500mL</v>
      </c>
      <c r="E95" s="188" t="str">
        <f>INDEX('Pricing (Drugs) SS'!$D:$D,MATCH(F95,'Pricing (Drugs) SS'!$A:$A,0))</f>
        <v>0409-7248-03</v>
      </c>
      <c r="F95" s="189">
        <v>1009750</v>
      </c>
      <c r="G95" s="241">
        <f>INDEX('Pricing (Drugs) SS'!$I:$I,MATCH(F95,'Pricing (Drugs) SS'!$A:$A,0))</f>
        <v>77.197500000000005</v>
      </c>
      <c r="H95" s="241">
        <f t="shared" si="2"/>
        <v>0</v>
      </c>
      <c r="I95" s="190">
        <f>VLOOKUP(F95,'Price Sheet'!$A:$C,3,FALSE)</f>
        <v>118.98</v>
      </c>
      <c r="J95" s="191"/>
      <c r="K95" s="192">
        <f t="shared" si="8"/>
        <v>118.98</v>
      </c>
      <c r="L95" s="192">
        <f t="shared" si="9"/>
        <v>0</v>
      </c>
      <c r="M95" s="193" t="str">
        <f t="shared" si="3"/>
        <v/>
      </c>
      <c r="N95" s="194" t="str">
        <f t="shared" si="4"/>
        <v/>
      </c>
      <c r="O95" s="124" t="str">
        <f t="shared" si="5"/>
        <v/>
      </c>
      <c r="P95" s="124" t="str">
        <f>INDEX('Pricing (Drugs) SS'!$C:$C,MATCH(F95,'Pricing (Drugs) SS'!$A:$A,0))</f>
        <v>ACTIVE</v>
      </c>
      <c r="Q95" s="124" t="str">
        <f>IF(AND($L$23="Extra DEA Req",S95="X"),"SAFE- CONTROLLED",INDEX('Pricing (Drugs) SS'!$G:$G,MATCH(F95,'Pricing (Drugs) SS'!$A:$A,0)))</f>
        <v>DRUG ROOM</v>
      </c>
      <c r="R95" s="195" t="str">
        <f>INDEX('Pricing (Drugs) SS'!$H:$H,MATCH(F95,'Pricing (Drugs) SS'!$A:$A,0))</f>
        <v>Not on List</v>
      </c>
      <c r="S95" s="195" t="str">
        <f>IF(COUNTIFS('Version and Lists'!$F:$F,F95,'Version and Lists'!$G:$G,$M$22)&gt;0,"X","")</f>
        <v/>
      </c>
    </row>
    <row r="96" spans="1:19" ht="15" customHeight="1" x14ac:dyDescent="0.3">
      <c r="A96" s="185">
        <f>INDEX('Cart Formulary Calculator'!$A$12:$A$433,MATCH(F96,'Cart Formulary Calculator'!$F$12:$F$433,0))</f>
        <v>0</v>
      </c>
      <c r="B96" s="186" t="str">
        <f>INDEX('Pricing (Drugs) SS'!$B:$B,MATCH(F96,'Pricing (Drugs) SS'!$A:$A,0))</f>
        <v>HEPARIN SODIUM INJECTION, USP 10,000 USP UNITS/mL 1mL VIAL</v>
      </c>
      <c r="C96" s="187" t="str">
        <f>INDEX('Pricing (Drugs) SS'!$E:$E,MATCH(F96,'Pricing (Drugs) SS'!$A:$A,0))</f>
        <v>10,000usp per mL</v>
      </c>
      <c r="D96" s="188" t="str">
        <f>INDEX('Pricing (Drugs) SS'!$F:$F,MATCH(F96,'Pricing (Drugs) SS'!$A:$A,0))</f>
        <v>1mL</v>
      </c>
      <c r="E96" s="188" t="str">
        <f>INDEX('Pricing (Drugs) SS'!$D:$D,MATCH(F96,'Pricing (Drugs) SS'!$A:$A,0))</f>
        <v>0409-2721-01</v>
      </c>
      <c r="F96" s="189">
        <v>1013060</v>
      </c>
      <c r="G96" s="241">
        <f>INDEX('Pricing (Drugs) SS'!$I:$I,MATCH(F96,'Pricing (Drugs) SS'!$A:$A,0))</f>
        <v>3.2096</v>
      </c>
      <c r="H96" s="241">
        <f t="shared" si="2"/>
        <v>0</v>
      </c>
      <c r="I96" s="190">
        <f>VLOOKUP(F96,'Price Sheet'!$A:$C,3,FALSE)</f>
        <v>15.99</v>
      </c>
      <c r="J96" s="191"/>
      <c r="K96" s="192">
        <f t="shared" si="8"/>
        <v>15.99</v>
      </c>
      <c r="L96" s="192">
        <f t="shared" si="9"/>
        <v>0</v>
      </c>
      <c r="M96" s="193" t="str">
        <f t="shared" si="3"/>
        <v/>
      </c>
      <c r="N96" s="194" t="str">
        <f t="shared" si="4"/>
        <v/>
      </c>
      <c r="O96" s="124" t="str">
        <f t="shared" si="5"/>
        <v/>
      </c>
      <c r="P96" s="124" t="str">
        <f>INDEX('Pricing (Drugs) SS'!$C:$C,MATCH(F96,'Pricing (Drugs) SS'!$A:$A,0))</f>
        <v>ACTIVE</v>
      </c>
      <c r="Q96" s="124" t="str">
        <f>IF(AND($L$23="Extra DEA Req",S96="X"),"SAFE- CONTROLLED",INDEX('Pricing (Drugs) SS'!$G:$G,MATCH(F96,'Pricing (Drugs) SS'!$A:$A,0)))</f>
        <v>DRUG ROOM</v>
      </c>
      <c r="R96" s="195" t="str">
        <f>INDEX('Pricing (Drugs) SS'!$H:$H,MATCH(F96,'Pricing (Drugs) SS'!$A:$A,0))</f>
        <v>Not on List</v>
      </c>
      <c r="S96" s="195" t="str">
        <f>IF(COUNTIFS('Version and Lists'!$F:$F,F96,'Version and Lists'!$G:$G,$M$22)&gt;0,"X","")</f>
        <v/>
      </c>
    </row>
    <row r="97" spans="1:19" ht="15" customHeight="1" x14ac:dyDescent="0.3">
      <c r="A97" s="185">
        <f>INDEX('Cart Formulary Calculator'!$A$12:$A$433,MATCH(F97,'Cart Formulary Calculator'!$F$12:$F$433,0))</f>
        <v>0</v>
      </c>
      <c r="B97" s="186" t="str">
        <f>INDEX('Pricing (Drugs) SS'!$B:$B,MATCH(F97,'Pricing (Drugs) SS'!$A:$A,0))</f>
        <v>HEPARIN SODIUM INJECTION, USP 50,000 USP UNITS PER 5mL (10,000 USP UNITS per mL) 5mL VIAL</v>
      </c>
      <c r="C97" s="187" t="str">
        <f>INDEX('Pricing (Drugs) SS'!$E:$E,MATCH(F97,'Pricing (Drugs) SS'!$A:$A,0))</f>
        <v>10,000u/mL</v>
      </c>
      <c r="D97" s="188" t="str">
        <f>INDEX('Pricing (Drugs) SS'!$F:$F,MATCH(F97,'Pricing (Drugs) SS'!$A:$A,0))</f>
        <v>5mL</v>
      </c>
      <c r="E97" s="188" t="str">
        <f>INDEX('Pricing (Drugs) SS'!$D:$D,MATCH(F97,'Pricing (Drugs) SS'!$A:$A,0))</f>
        <v>63323-542-14</v>
      </c>
      <c r="F97" s="189">
        <v>1012150</v>
      </c>
      <c r="G97" s="241">
        <f>INDEX('Pricing (Drugs) SS'!$I:$I,MATCH(F97,'Pricing (Drugs) SS'!$A:$A,0))</f>
        <v>25.67</v>
      </c>
      <c r="H97" s="241">
        <f t="shared" si="2"/>
        <v>0</v>
      </c>
      <c r="I97" s="190">
        <f>VLOOKUP(F97,'Price Sheet'!$A:$C,3,FALSE)</f>
        <v>79.989999999999995</v>
      </c>
      <c r="J97" s="191"/>
      <c r="K97" s="192">
        <f t="shared" si="8"/>
        <v>79.989999999999995</v>
      </c>
      <c r="L97" s="192">
        <f t="shared" si="9"/>
        <v>0</v>
      </c>
      <c r="M97" s="193" t="str">
        <f t="shared" si="3"/>
        <v/>
      </c>
      <c r="N97" s="194" t="str">
        <f t="shared" ref="N97:N160" si="10">IF(R97&lt;&gt;"Not on List","X","")</f>
        <v/>
      </c>
      <c r="O97" s="124" t="str">
        <f t="shared" si="5"/>
        <v/>
      </c>
      <c r="P97" s="124" t="str">
        <f>INDEX('Pricing (Drugs) SS'!$C:$C,MATCH(F97,'Pricing (Drugs) SS'!$A:$A,0))</f>
        <v>ACTIVE</v>
      </c>
      <c r="Q97" s="124" t="str">
        <f>IF(AND($L$23="Extra DEA Req",S97="X"),"SAFE- CONTROLLED",INDEX('Pricing (Drugs) SS'!$G:$G,MATCH(F97,'Pricing (Drugs) SS'!$A:$A,0)))</f>
        <v>DRUG ROOM</v>
      </c>
      <c r="R97" s="195" t="str">
        <f>INDEX('Pricing (Drugs) SS'!$H:$H,MATCH(F97,'Pricing (Drugs) SS'!$A:$A,0))</f>
        <v>Not on List</v>
      </c>
      <c r="S97" s="195" t="str">
        <f>IF(COUNTIFS('Version and Lists'!$F:$F,F97,'Version and Lists'!$G:$G,$M$22)&gt;0,"X","")</f>
        <v/>
      </c>
    </row>
    <row r="98" spans="1:19" ht="15" customHeight="1" x14ac:dyDescent="0.3">
      <c r="A98" s="185">
        <f>INDEX('Cart Formulary Calculator'!$A$12:$A$433,MATCH(F98,'Cart Formulary Calculator'!$F$12:$F$433,0))</f>
        <v>0</v>
      </c>
      <c r="B98" s="186" t="str">
        <f>INDEX('Pricing (Drugs) SS'!$B:$B,MATCH(F98,'Pricing (Drugs) SS'!$A:$A,0))</f>
        <v>HEPARIN SODIUM IN 0.45% SODIUM CHLORIDE INJECTION (100 USP UNITS/mL) 250 mL</v>
      </c>
      <c r="C98" s="187" t="str">
        <f>INDEX('Pricing (Drugs) SS'!$E:$E,MATCH(F98,'Pricing (Drugs) SS'!$A:$A,0))</f>
        <v>100 USP UNITS/mL)</v>
      </c>
      <c r="D98" s="188" t="str">
        <f>INDEX('Pricing (Drugs) SS'!$F:$F,MATCH(F98,'Pricing (Drugs) SS'!$A:$A,0))</f>
        <v>250 mL</v>
      </c>
      <c r="E98" s="188" t="str">
        <f>INDEX('Pricing (Drugs) SS'!$D:$D,MATCH(F98,'Pricing (Drugs) SS'!$A:$A,0))</f>
        <v>0409-7650-62</v>
      </c>
      <c r="F98" s="189">
        <v>1011890</v>
      </c>
      <c r="G98" s="241">
        <f>INDEX('Pricing (Drugs) SS'!$I:$I,MATCH(F98,'Pricing (Drugs) SS'!$A:$A,0))</f>
        <v>14.2258333333333</v>
      </c>
      <c r="H98" s="241">
        <f t="shared" si="2"/>
        <v>0</v>
      </c>
      <c r="I98" s="190">
        <f>VLOOKUP(F98,'Price Sheet'!$A:$C,3,FALSE)</f>
        <v>49.99</v>
      </c>
      <c r="J98" s="191"/>
      <c r="K98" s="192">
        <f t="shared" si="8"/>
        <v>49.99</v>
      </c>
      <c r="L98" s="192">
        <f t="shared" si="9"/>
        <v>0</v>
      </c>
      <c r="M98" s="193" t="str">
        <f t="shared" ref="M98:M161" si="11">IF(AND(Q98&lt;&gt;"Drug Room",Q98&lt;&gt;"SAFE- CONTROLLED"),"C","")</f>
        <v/>
      </c>
      <c r="N98" s="194" t="str">
        <f t="shared" si="10"/>
        <v/>
      </c>
      <c r="O98" s="124" t="str">
        <f t="shared" si="5"/>
        <v/>
      </c>
      <c r="P98" s="124" t="str">
        <f>INDEX('Pricing (Drugs) SS'!$C:$C,MATCH(F98,'Pricing (Drugs) SS'!$A:$A,0))</f>
        <v>ACTIVE</v>
      </c>
      <c r="Q98" s="124" t="str">
        <f>IF(AND($L$23="Extra DEA Req",S98="X"),"SAFE- CONTROLLED",INDEX('Pricing (Drugs) SS'!$G:$G,MATCH(F98,'Pricing (Drugs) SS'!$A:$A,0)))</f>
        <v>DRUG ROOM</v>
      </c>
      <c r="R98" s="195" t="str">
        <f>INDEX('Pricing (Drugs) SS'!$H:$H,MATCH(F98,'Pricing (Drugs) SS'!$A:$A,0))</f>
        <v>Not on List</v>
      </c>
      <c r="S98" s="195" t="str">
        <f>IF(COUNTIFS('Version and Lists'!$F:$F,F98,'Version and Lists'!$G:$G,$M$22)&gt;0,"X","")</f>
        <v/>
      </c>
    </row>
    <row r="99" spans="1:19" ht="15" customHeight="1" x14ac:dyDescent="0.3">
      <c r="A99" s="185">
        <f>INDEX('Cart Formulary Calculator'!$A$12:$A$433,MATCH(F99,'Cart Formulary Calculator'!$F$12:$F$433,0))</f>
        <v>0</v>
      </c>
      <c r="B99" s="186" t="str">
        <f>INDEX('Pricing (Drugs) SS'!$B:$B,MATCH(F99,'Pricing (Drugs) SS'!$A:$A,0))</f>
        <v>HYDRALAZINE HYDROCHLORIDE INJECTION, USP 20mg per mL 1mL VIAL</v>
      </c>
      <c r="C99" s="187" t="str">
        <f>INDEX('Pricing (Drugs) SS'!$E:$E,MATCH(F99,'Pricing (Drugs) SS'!$A:$A,0))</f>
        <v>20mg/mL</v>
      </c>
      <c r="D99" s="188" t="str">
        <f>INDEX('Pricing (Drugs) SS'!$F:$F,MATCH(F99,'Pricing (Drugs) SS'!$A:$A,0))</f>
        <v>1mL</v>
      </c>
      <c r="E99" s="188" t="str">
        <f>INDEX('Pricing (Drugs) SS'!$D:$D,MATCH(F99,'Pricing (Drugs) SS'!$A:$A,0))</f>
        <v>63323-614-01</v>
      </c>
      <c r="F99" s="189">
        <v>1012170</v>
      </c>
      <c r="G99" s="241">
        <f>INDEX('Pricing (Drugs) SS'!$I:$I,MATCH(F99,'Pricing (Drugs) SS'!$A:$A,0))</f>
        <v>17.04</v>
      </c>
      <c r="H99" s="241">
        <f t="shared" ref="H99:H162" si="12">A99*G99</f>
        <v>0</v>
      </c>
      <c r="I99" s="190">
        <f>VLOOKUP(F99,'Price Sheet'!$A:$C,3,FALSE)</f>
        <v>49.99</v>
      </c>
      <c r="J99" s="191"/>
      <c r="K99" s="192">
        <f t="shared" si="8"/>
        <v>49.99</v>
      </c>
      <c r="L99" s="192">
        <f t="shared" si="9"/>
        <v>0</v>
      </c>
      <c r="M99" s="193" t="str">
        <f t="shared" si="11"/>
        <v/>
      </c>
      <c r="N99" s="194" t="str">
        <f t="shared" si="10"/>
        <v/>
      </c>
      <c r="O99" s="124" t="str">
        <f t="shared" ref="O99:O162" si="13">IF(Q99="Safe- Controlled","X","")</f>
        <v/>
      </c>
      <c r="P99" s="124" t="str">
        <f>INDEX('Pricing (Drugs) SS'!$C:$C,MATCH(F99,'Pricing (Drugs) SS'!$A:$A,0))</f>
        <v>ACTIVE</v>
      </c>
      <c r="Q99" s="124" t="str">
        <f>IF(AND($L$23="Extra DEA Req",S99="X"),"SAFE- CONTROLLED",INDEX('Pricing (Drugs) SS'!$G:$G,MATCH(F99,'Pricing (Drugs) SS'!$A:$A,0)))</f>
        <v>DRUG ROOM</v>
      </c>
      <c r="R99" s="195" t="str">
        <f>INDEX('Pricing (Drugs) SS'!$H:$H,MATCH(F99,'Pricing (Drugs) SS'!$A:$A,0))</f>
        <v>Not on List</v>
      </c>
      <c r="S99" s="195" t="str">
        <f>IF(COUNTIFS('Version and Lists'!$F:$F,F99,'Version and Lists'!$G:$G,$M$22)&gt;0,"X","")</f>
        <v/>
      </c>
    </row>
    <row r="100" spans="1:19" ht="15" customHeight="1" x14ac:dyDescent="0.3">
      <c r="A100" s="185">
        <f>INDEX('Cart Formulary Calculator'!$A$12:$A$433,MATCH(F100,'Cart Formulary Calculator'!$F$12:$F$433,0))</f>
        <v>0</v>
      </c>
      <c r="B100" s="186" t="str">
        <f>INDEX('Pricing (Drugs) SS'!$B:$B,MATCH(F100,'Pricing (Drugs) SS'!$A:$A,0))</f>
        <v>SOLU-CORTEF® 100mg 2mL ACT-O-VIAL®</v>
      </c>
      <c r="C100" s="187" t="str">
        <f>INDEX('Pricing (Drugs) SS'!$E:$E,MATCH(F100,'Pricing (Drugs) SS'!$A:$A,0))</f>
        <v>100mg/2mL</v>
      </c>
      <c r="D100" s="188" t="str">
        <f>INDEX('Pricing (Drugs) SS'!$F:$F,MATCH(F100,'Pricing (Drugs) SS'!$A:$A,0))</f>
        <v>2mL</v>
      </c>
      <c r="E100" s="188" t="str">
        <f>INDEX('Pricing (Drugs) SS'!$D:$D,MATCH(F100,'Pricing (Drugs) SS'!$A:$A,0))</f>
        <v>0009-0011-04</v>
      </c>
      <c r="F100" s="189">
        <v>1000640</v>
      </c>
      <c r="G100" s="241">
        <f>INDEX('Pricing (Drugs) SS'!$I:$I,MATCH(F100,'Pricing (Drugs) SS'!$A:$A,0))</f>
        <v>26.042400000000001</v>
      </c>
      <c r="H100" s="241">
        <f t="shared" si="12"/>
        <v>0</v>
      </c>
      <c r="I100" s="190">
        <f>VLOOKUP(F100,'Price Sheet'!$A:$C,3,FALSE)</f>
        <v>69.989999999999995</v>
      </c>
      <c r="J100" s="191"/>
      <c r="K100" s="192">
        <f t="shared" si="8"/>
        <v>69.989999999999995</v>
      </c>
      <c r="L100" s="192">
        <f t="shared" si="9"/>
        <v>0</v>
      </c>
      <c r="M100" s="193" t="str">
        <f t="shared" si="11"/>
        <v/>
      </c>
      <c r="N100" s="194" t="str">
        <f t="shared" si="10"/>
        <v/>
      </c>
      <c r="O100" s="124" t="str">
        <f t="shared" si="13"/>
        <v/>
      </c>
      <c r="P100" s="124" t="str">
        <f>INDEX('Pricing (Drugs) SS'!$C:$C,MATCH(F100,'Pricing (Drugs) SS'!$A:$A,0))</f>
        <v>ACTIVE</v>
      </c>
      <c r="Q100" s="124" t="str">
        <f>IF(AND($L$23="Extra DEA Req",S100="X"),"SAFE- CONTROLLED",INDEX('Pricing (Drugs) SS'!$G:$G,MATCH(F100,'Pricing (Drugs) SS'!$A:$A,0)))</f>
        <v>DRUG ROOM</v>
      </c>
      <c r="R100" s="195" t="str">
        <f>INDEX('Pricing (Drugs) SS'!$H:$H,MATCH(F100,'Pricing (Drugs) SS'!$A:$A,0))</f>
        <v>Not on List</v>
      </c>
      <c r="S100" s="195" t="str">
        <f>IF(COUNTIFS('Version and Lists'!$F:$F,F100,'Version and Lists'!$G:$G,$M$22)&gt;0,"X","")</f>
        <v/>
      </c>
    </row>
    <row r="101" spans="1:19" ht="15" customHeight="1" x14ac:dyDescent="0.3">
      <c r="A101" s="185">
        <f>INDEX('Cart Formulary Calculator'!$A$12:$A$433,MATCH(F101,'Cart Formulary Calculator'!$F$12:$F$433,0))</f>
        <v>0</v>
      </c>
      <c r="B101" s="186" t="str">
        <f>INDEX('Pricing (Drugs) SS'!$B:$B,MATCH(F101,'Pricing (Drugs) SS'!$A:$A,0))</f>
        <v>SOLU-CORTEF® 250mg 2mL ACT-O-VIAL®</v>
      </c>
      <c r="C101" s="187" t="str">
        <f>INDEX('Pricing (Drugs) SS'!$E:$E,MATCH(F101,'Pricing (Drugs) SS'!$A:$A,0))</f>
        <v>250mg</v>
      </c>
      <c r="D101" s="188" t="str">
        <f>INDEX('Pricing (Drugs) SS'!$F:$F,MATCH(F101,'Pricing (Drugs) SS'!$A:$A,0))</f>
        <v>2mL</v>
      </c>
      <c r="E101" s="188" t="str">
        <f>INDEX('Pricing (Drugs) SS'!$D:$D,MATCH(F101,'Pricing (Drugs) SS'!$A:$A,0))</f>
        <v>0009-0013-06</v>
      </c>
      <c r="F101" s="189">
        <v>1000650</v>
      </c>
      <c r="G101" s="241">
        <f>INDEX('Pricing (Drugs) SS'!$I:$I,MATCH(F101,'Pricing (Drugs) SS'!$A:$A,0))</f>
        <v>50.459200000000003</v>
      </c>
      <c r="H101" s="241">
        <f t="shared" si="12"/>
        <v>0</v>
      </c>
      <c r="I101" s="190">
        <f>VLOOKUP(F101,'Price Sheet'!$A:$C,3,FALSE)</f>
        <v>89.99</v>
      </c>
      <c r="J101" s="191"/>
      <c r="K101" s="192">
        <f t="shared" si="8"/>
        <v>89.99</v>
      </c>
      <c r="L101" s="192">
        <f t="shared" si="9"/>
        <v>0</v>
      </c>
      <c r="M101" s="193" t="str">
        <f t="shared" si="11"/>
        <v/>
      </c>
      <c r="N101" s="194" t="str">
        <f t="shared" si="10"/>
        <v/>
      </c>
      <c r="O101" s="124" t="str">
        <f t="shared" si="13"/>
        <v/>
      </c>
      <c r="P101" s="124" t="str">
        <f>INDEX('Pricing (Drugs) SS'!$C:$C,MATCH(F101,'Pricing (Drugs) SS'!$A:$A,0))</f>
        <v>ACTIVE</v>
      </c>
      <c r="Q101" s="124" t="str">
        <f>IF(AND($L$23="Extra DEA Req",S101="X"),"SAFE- CONTROLLED",INDEX('Pricing (Drugs) SS'!$G:$G,MATCH(F101,'Pricing (Drugs) SS'!$A:$A,0)))</f>
        <v>DRUG ROOM</v>
      </c>
      <c r="R101" s="195" t="str">
        <f>INDEX('Pricing (Drugs) SS'!$H:$H,MATCH(F101,'Pricing (Drugs) SS'!$A:$A,0))</f>
        <v>Not on List</v>
      </c>
      <c r="S101" s="195" t="str">
        <f>IF(COUNTIFS('Version and Lists'!$F:$F,F101,'Version and Lists'!$G:$G,$M$22)&gt;0,"X","")</f>
        <v/>
      </c>
    </row>
    <row r="102" spans="1:19" ht="15" customHeight="1" x14ac:dyDescent="0.3">
      <c r="A102" s="185">
        <f>INDEX('Cart Formulary Calculator'!$A$12:$A$433,MATCH(F102,'Cart Formulary Calculator'!$F$12:$F$433,0))</f>
        <v>0</v>
      </c>
      <c r="B102" s="186" t="str">
        <f>INDEX('Pricing (Drugs) SS'!$B:$B,MATCH(F102,'Pricing (Drugs) SS'!$A:$A,0))</f>
        <v>HYLENEX® RECOMBINANT 1mL (HYALURONIDASE HUMAN INJECTION) 150 USP UNITS/mL 1mL VIAL</v>
      </c>
      <c r="C102" s="187" t="str">
        <f>INDEX('Pricing (Drugs) SS'!$E:$E,MATCH(F102,'Pricing (Drugs) SS'!$A:$A,0))</f>
        <v>150 USP Units/mL</v>
      </c>
      <c r="D102" s="188" t="str">
        <f>INDEX('Pricing (Drugs) SS'!$F:$F,MATCH(F102,'Pricing (Drugs) SS'!$A:$A,0))</f>
        <v>1mL</v>
      </c>
      <c r="E102" s="188" t="str">
        <f>INDEX('Pricing (Drugs) SS'!$D:$D,MATCH(F102,'Pricing (Drugs) SS'!$A:$A,0))</f>
        <v>18657-117-04</v>
      </c>
      <c r="F102" s="189">
        <v>1016120</v>
      </c>
      <c r="G102" s="241">
        <f>INDEX('Pricing (Drugs) SS'!$I:$I,MATCH(F102,'Pricing (Drugs) SS'!$A:$A,0))</f>
        <v>59.147500000000001</v>
      </c>
      <c r="H102" s="241">
        <f t="shared" si="12"/>
        <v>0</v>
      </c>
      <c r="I102" s="190">
        <f>VLOOKUP(F102,'Price Sheet'!$A:$C,3,FALSE)</f>
        <v>175.99</v>
      </c>
      <c r="J102" s="191"/>
      <c r="K102" s="192">
        <f t="shared" si="8"/>
        <v>175.99</v>
      </c>
      <c r="L102" s="192">
        <f t="shared" si="9"/>
        <v>0</v>
      </c>
      <c r="M102" s="193" t="str">
        <f t="shared" si="11"/>
        <v>C</v>
      </c>
      <c r="N102" s="194" t="str">
        <f t="shared" si="10"/>
        <v/>
      </c>
      <c r="O102" s="124" t="str">
        <f t="shared" si="13"/>
        <v/>
      </c>
      <c r="P102" s="124" t="str">
        <f>INDEX('Pricing (Drugs) SS'!$C:$C,MATCH(F102,'Pricing (Drugs) SS'!$A:$A,0))</f>
        <v>RESTRICTED</v>
      </c>
      <c r="Q102" s="124" t="str">
        <f>IF(AND($L$23="Extra DEA Req",S102="X"),"SAFE- CONTROLLED",INDEX('Pricing (Drugs) SS'!$G:$G,MATCH(F102,'Pricing (Drugs) SS'!$A:$A,0)))</f>
        <v>REFRIGERATED</v>
      </c>
      <c r="R102" s="195" t="str">
        <f>INDEX('Pricing (Drugs) SS'!$H:$H,MATCH(F102,'Pricing (Drugs) SS'!$A:$A,0))</f>
        <v>Not on List</v>
      </c>
      <c r="S102" s="195" t="str">
        <f>IF(COUNTIFS('Version and Lists'!$F:$F,F102,'Version and Lists'!$G:$G,$M$22)&gt;0,"X","")</f>
        <v/>
      </c>
    </row>
    <row r="103" spans="1:19" ht="15" customHeight="1" x14ac:dyDescent="0.3">
      <c r="A103" s="185">
        <f>INDEX('Cart Formulary Calculator'!$A$12:$A$433,MATCH(F103,'Cart Formulary Calculator'!$F$12:$F$433,0))</f>
        <v>0</v>
      </c>
      <c r="B103" s="186" t="str">
        <f>INDEX('Pricing (Drugs) SS'!$B:$B,MATCH(F103,'Pricing (Drugs) SS'!$A:$A,0))</f>
        <v>KETOROLAC TROMETHAMINE INJ., USP 30mg/mL 1mL VIAL</v>
      </c>
      <c r="C103" s="187" t="str">
        <f>INDEX('Pricing (Drugs) SS'!$E:$E,MATCH(F103,'Pricing (Drugs) SS'!$A:$A,0))</f>
        <v>30mg/mL</v>
      </c>
      <c r="D103" s="188" t="str">
        <f>INDEX('Pricing (Drugs) SS'!$F:$F,MATCH(F103,'Pricing (Drugs) SS'!$A:$A,0))</f>
        <v>1mL</v>
      </c>
      <c r="E103" s="188" t="str">
        <f>INDEX('Pricing (Drugs) SS'!$D:$D,MATCH(F103,'Pricing (Drugs) SS'!$A:$A,0))</f>
        <v>0409-3795-01</v>
      </c>
      <c r="F103" s="189">
        <v>1008010</v>
      </c>
      <c r="G103" s="241">
        <f>INDEX('Pricing (Drugs) SS'!$I:$I,MATCH(F103,'Pricing (Drugs) SS'!$A:$A,0))</f>
        <v>0.35</v>
      </c>
      <c r="H103" s="241">
        <f t="shared" si="12"/>
        <v>0</v>
      </c>
      <c r="I103" s="190">
        <f>VLOOKUP(F103,'Price Sheet'!$A:$C,3,FALSE)</f>
        <v>8.99</v>
      </c>
      <c r="J103" s="191"/>
      <c r="K103" s="192">
        <f t="shared" si="8"/>
        <v>8.99</v>
      </c>
      <c r="L103" s="192">
        <f t="shared" si="9"/>
        <v>0</v>
      </c>
      <c r="M103" s="193" t="str">
        <f t="shared" si="11"/>
        <v/>
      </c>
      <c r="N103" s="194" t="str">
        <f t="shared" si="10"/>
        <v/>
      </c>
      <c r="O103" s="124" t="str">
        <f t="shared" si="13"/>
        <v/>
      </c>
      <c r="P103" s="124" t="str">
        <f>INDEX('Pricing (Drugs) SS'!$C:$C,MATCH(F103,'Pricing (Drugs) SS'!$A:$A,0))</f>
        <v>ACTIVE</v>
      </c>
      <c r="Q103" s="124" t="str">
        <f>IF(AND($L$23="Extra DEA Req",S103="X"),"SAFE- CONTROLLED",INDEX('Pricing (Drugs) SS'!$G:$G,MATCH(F103,'Pricing (Drugs) SS'!$A:$A,0)))</f>
        <v>DRUG ROOM</v>
      </c>
      <c r="R103" s="195" t="str">
        <f>INDEX('Pricing (Drugs) SS'!$H:$H,MATCH(F103,'Pricing (Drugs) SS'!$A:$A,0))</f>
        <v>Not on List</v>
      </c>
      <c r="S103" s="195" t="str">
        <f>IF(COUNTIFS('Version and Lists'!$F:$F,F103,'Version and Lists'!$G:$G,$M$22)&gt;0,"X","")</f>
        <v/>
      </c>
    </row>
    <row r="104" spans="1:19" ht="15" customHeight="1" x14ac:dyDescent="0.3">
      <c r="A104" s="185">
        <f>INDEX('Cart Formulary Calculator'!$A$12:$A$433,MATCH(F104,'Cart Formulary Calculator'!$F$12:$F$433,0))</f>
        <v>0</v>
      </c>
      <c r="B104" s="186" t="str">
        <f>INDEX('Pricing (Drugs) SS'!$B:$B,MATCH(F104,'Pricing (Drugs) SS'!$A:$A,0))</f>
        <v>KETOROLAC TROMETHAMINE INJ., USP 60mg/2mL (30mg/mL) 2mL VIAL</v>
      </c>
      <c r="C104" s="187" t="str">
        <f>INDEX('Pricing (Drugs) SS'!$E:$E,MATCH(F104,'Pricing (Drugs) SS'!$A:$A,0))</f>
        <v>60mg/2mL</v>
      </c>
      <c r="D104" s="188" t="str">
        <f>INDEX('Pricing (Drugs) SS'!$F:$F,MATCH(F104,'Pricing (Drugs) SS'!$A:$A,0))</f>
        <v>2mL</v>
      </c>
      <c r="E104" s="188" t="str">
        <f>INDEX('Pricing (Drugs) SS'!$D:$D,MATCH(F104,'Pricing (Drugs) SS'!$A:$A,0))</f>
        <v>0409-3796-01</v>
      </c>
      <c r="F104" s="189">
        <v>1008040</v>
      </c>
      <c r="G104" s="241">
        <f>INDEX('Pricing (Drugs) SS'!$I:$I,MATCH(F104,'Pricing (Drugs) SS'!$A:$A,0))</f>
        <v>0.7</v>
      </c>
      <c r="H104" s="241">
        <f t="shared" si="12"/>
        <v>0</v>
      </c>
      <c r="I104" s="190">
        <f>VLOOKUP(F104,'Price Sheet'!$A:$C,3,FALSE)</f>
        <v>10.99</v>
      </c>
      <c r="J104" s="191"/>
      <c r="K104" s="192">
        <f t="shared" si="8"/>
        <v>10.99</v>
      </c>
      <c r="L104" s="192">
        <f t="shared" si="9"/>
        <v>0</v>
      </c>
      <c r="M104" s="193" t="str">
        <f t="shared" si="11"/>
        <v/>
      </c>
      <c r="N104" s="194" t="str">
        <f t="shared" si="10"/>
        <v/>
      </c>
      <c r="O104" s="124" t="str">
        <f t="shared" si="13"/>
        <v/>
      </c>
      <c r="P104" s="124" t="str">
        <f>INDEX('Pricing (Drugs) SS'!$C:$C,MATCH(F104,'Pricing (Drugs) SS'!$A:$A,0))</f>
        <v>ACTIVE</v>
      </c>
      <c r="Q104" s="124" t="str">
        <f>IF(AND($L$23="Extra DEA Req",S104="X"),"SAFE- CONTROLLED",INDEX('Pricing (Drugs) SS'!$G:$G,MATCH(F104,'Pricing (Drugs) SS'!$A:$A,0)))</f>
        <v>DRUG ROOM</v>
      </c>
      <c r="R104" s="195" t="str">
        <f>INDEX('Pricing (Drugs) SS'!$H:$H,MATCH(F104,'Pricing (Drugs) SS'!$A:$A,0))</f>
        <v>Not on List</v>
      </c>
      <c r="S104" s="195" t="str">
        <f>IF(COUNTIFS('Version and Lists'!$F:$F,F104,'Version and Lists'!$G:$G,$M$22)&gt;0,"X","")</f>
        <v/>
      </c>
    </row>
    <row r="105" spans="1:19" ht="15" customHeight="1" x14ac:dyDescent="0.3">
      <c r="A105" s="185">
        <f>INDEX('Cart Formulary Calculator'!$A$12:$A$433,MATCH(F105,'Cart Formulary Calculator'!$F$12:$F$433,0))</f>
        <v>0</v>
      </c>
      <c r="B105" s="186" t="str">
        <f>INDEX('Pricing (Drugs) SS'!$B:$B,MATCH(F105,'Pricing (Drugs) SS'!$A:$A,0))</f>
        <v>ESMOLOL HYDROCHLORIDE INJECTION 100mg per 10mL (10mg/mL) 10mL VIAL</v>
      </c>
      <c r="C105" s="187" t="str">
        <f>INDEX('Pricing (Drugs) SS'!$E:$E,MATCH(F105,'Pricing (Drugs) SS'!$A:$A,0))</f>
        <v>10mg/mL</v>
      </c>
      <c r="D105" s="188" t="str">
        <f>INDEX('Pricing (Drugs) SS'!$F:$F,MATCH(F105,'Pricing (Drugs) SS'!$A:$A,0))</f>
        <v>10mL</v>
      </c>
      <c r="E105" s="188" t="str">
        <f>INDEX('Pricing (Drugs) SS'!$D:$D,MATCH(F105,'Pricing (Drugs) SS'!$A:$A,0))</f>
        <v>55150-194-10</v>
      </c>
      <c r="F105" s="189">
        <v>1012640</v>
      </c>
      <c r="G105" s="241">
        <f>INDEX('Pricing (Drugs) SS'!$I:$I,MATCH(F105,'Pricing (Drugs) SS'!$A:$A,0))</f>
        <v>2.04</v>
      </c>
      <c r="H105" s="241">
        <f t="shared" si="12"/>
        <v>0</v>
      </c>
      <c r="I105" s="190">
        <f>VLOOKUP(F105,'Price Sheet'!$A:$C,3,FALSE)</f>
        <v>22.99</v>
      </c>
      <c r="J105" s="191"/>
      <c r="K105" s="192">
        <f t="shared" si="8"/>
        <v>22.99</v>
      </c>
      <c r="L105" s="192">
        <f t="shared" si="9"/>
        <v>0</v>
      </c>
      <c r="M105" s="193" t="str">
        <f t="shared" si="11"/>
        <v/>
      </c>
      <c r="N105" s="194" t="str">
        <f t="shared" si="10"/>
        <v/>
      </c>
      <c r="O105" s="124" t="str">
        <f t="shared" si="13"/>
        <v/>
      </c>
      <c r="P105" s="124" t="str">
        <f>INDEX('Pricing (Drugs) SS'!$C:$C,MATCH(F105,'Pricing (Drugs) SS'!$A:$A,0))</f>
        <v>ACTIVE</v>
      </c>
      <c r="Q105" s="124" t="str">
        <f>IF(AND($L$23="Extra DEA Req",S105="X"),"SAFE- CONTROLLED",INDEX('Pricing (Drugs) SS'!$G:$G,MATCH(F105,'Pricing (Drugs) SS'!$A:$A,0)))</f>
        <v>DRUG ROOM</v>
      </c>
      <c r="R105" s="195" t="str">
        <f>INDEX('Pricing (Drugs) SS'!$H:$H,MATCH(F105,'Pricing (Drugs) SS'!$A:$A,0))</f>
        <v>Not on List</v>
      </c>
      <c r="S105" s="195" t="str">
        <f>IF(COUNTIFS('Version and Lists'!$F:$F,F105,'Version and Lists'!$G:$G,$M$22)&gt;0,"X","")</f>
        <v/>
      </c>
    </row>
    <row r="106" spans="1:19" ht="15" customHeight="1" x14ac:dyDescent="0.3">
      <c r="A106" s="185">
        <f>INDEX('Cart Formulary Calculator'!$A$12:$A$433,MATCH(F106,'Cart Formulary Calculator'!$F$12:$F$433,0))</f>
        <v>0</v>
      </c>
      <c r="B106" s="186" t="str">
        <f>INDEX('Pricing (Drugs) SS'!$B:$B,MATCH(F106,'Pricing (Drugs) SS'!$A:$A,0))</f>
        <v>LABETALOL HCl INJECTION, USP 100mg/20mL (5mg/mL) 20mL VIAL BOXED</v>
      </c>
      <c r="C106" s="187" t="str">
        <f>INDEX('Pricing (Drugs) SS'!$E:$E,MATCH(F106,'Pricing (Drugs) SS'!$A:$A,0))</f>
        <v>5mg/mL</v>
      </c>
      <c r="D106" s="188" t="str">
        <f>INDEX('Pricing (Drugs) SS'!$F:$F,MATCH(F106,'Pricing (Drugs) SS'!$A:$A,0))</f>
        <v>20mL</v>
      </c>
      <c r="E106" s="188" t="str">
        <f>INDEX('Pricing (Drugs) SS'!$D:$D,MATCH(F106,'Pricing (Drugs) SS'!$A:$A,0))</f>
        <v>0143-9622-01</v>
      </c>
      <c r="F106" s="189">
        <v>1018070</v>
      </c>
      <c r="G106" s="241">
        <f>INDEX('Pricing (Drugs) SS'!$I:$I,MATCH(F106,'Pricing (Drugs) SS'!$A:$A,0))</f>
        <v>7</v>
      </c>
      <c r="H106" s="241">
        <f t="shared" si="12"/>
        <v>0</v>
      </c>
      <c r="I106" s="190">
        <f>VLOOKUP(F106,'Price Sheet'!$A:$C,3,FALSE)</f>
        <v>22.99</v>
      </c>
      <c r="J106" s="191"/>
      <c r="K106" s="192">
        <f t="shared" si="8"/>
        <v>22.99</v>
      </c>
      <c r="L106" s="192">
        <f t="shared" si="9"/>
        <v>0</v>
      </c>
      <c r="M106" s="193" t="str">
        <f t="shared" si="11"/>
        <v/>
      </c>
      <c r="N106" s="194" t="str">
        <f t="shared" si="10"/>
        <v/>
      </c>
      <c r="O106" s="124" t="str">
        <f t="shared" si="13"/>
        <v/>
      </c>
      <c r="P106" s="124" t="str">
        <f>INDEX('Pricing (Drugs) SS'!$C:$C,MATCH(F106,'Pricing (Drugs) SS'!$A:$A,0))</f>
        <v>ACTIVE</v>
      </c>
      <c r="Q106" s="124" t="str">
        <f>IF(AND($L$23="Extra DEA Req",S106="X"),"SAFE- CONTROLLED",INDEX('Pricing (Drugs) SS'!$G:$G,MATCH(F106,'Pricing (Drugs) SS'!$A:$A,0)))</f>
        <v>DRUG ROOM</v>
      </c>
      <c r="R106" s="195" t="str">
        <f>INDEX('Pricing (Drugs) SS'!$H:$H,MATCH(F106,'Pricing (Drugs) SS'!$A:$A,0))</f>
        <v>Not on List</v>
      </c>
      <c r="S106" s="195" t="str">
        <f>IF(COUNTIFS('Version and Lists'!$F:$F,F106,'Version and Lists'!$G:$G,$M$22)&gt;0,"X","")</f>
        <v/>
      </c>
    </row>
    <row r="107" spans="1:19" ht="15" customHeight="1" x14ac:dyDescent="0.3">
      <c r="A107" s="185">
        <f>INDEX('Cart Formulary Calculator'!$A$12:$A$433,MATCH(F107,'Cart Formulary Calculator'!$F$12:$F$433,0))</f>
        <v>0</v>
      </c>
      <c r="B107" s="186" t="str">
        <f>INDEX('Pricing (Drugs) SS'!$B:$B,MATCH(F107,'Pricing (Drugs) SS'!$A:$A,0))</f>
        <v>METOPROLOL TARTRATE INJECTION, USP 5mg/5mL (1mg PER mL) 5mL VIAL</v>
      </c>
      <c r="C107" s="187" t="str">
        <f>INDEX('Pricing (Drugs) SS'!$E:$E,MATCH(F107,'Pricing (Drugs) SS'!$A:$A,0))</f>
        <v>1mg/mL</v>
      </c>
      <c r="D107" s="188" t="str">
        <f>INDEX('Pricing (Drugs) SS'!$F:$F,MATCH(F107,'Pricing (Drugs) SS'!$A:$A,0))</f>
        <v>5mL</v>
      </c>
      <c r="E107" s="188" t="str">
        <f>INDEX('Pricing (Drugs) SS'!$D:$D,MATCH(F107,'Pricing (Drugs) SS'!$A:$A,0))</f>
        <v>0409-1778-05</v>
      </c>
      <c r="F107" s="189">
        <v>1012980</v>
      </c>
      <c r="G107" s="241">
        <f>INDEX('Pricing (Drugs) SS'!$I:$I,MATCH(F107,'Pricing (Drugs) SS'!$A:$A,0))</f>
        <v>1.444</v>
      </c>
      <c r="H107" s="241">
        <f t="shared" si="12"/>
        <v>0</v>
      </c>
      <c r="I107" s="190">
        <f>VLOOKUP(F107,'Price Sheet'!$A:$C,3,FALSE)</f>
        <v>11.49</v>
      </c>
      <c r="J107" s="191"/>
      <c r="K107" s="192">
        <f t="shared" si="8"/>
        <v>11.49</v>
      </c>
      <c r="L107" s="192">
        <f t="shared" si="9"/>
        <v>0</v>
      </c>
      <c r="M107" s="193" t="str">
        <f t="shared" si="11"/>
        <v/>
      </c>
      <c r="N107" s="194" t="str">
        <f t="shared" si="10"/>
        <v/>
      </c>
      <c r="O107" s="124" t="str">
        <f t="shared" si="13"/>
        <v/>
      </c>
      <c r="P107" s="124" t="str">
        <f>INDEX('Pricing (Drugs) SS'!$C:$C,MATCH(F107,'Pricing (Drugs) SS'!$A:$A,0))</f>
        <v>ACTIVE</v>
      </c>
      <c r="Q107" s="124" t="str">
        <f>IF(AND($L$23="Extra DEA Req",S107="X"),"SAFE- CONTROLLED",INDEX('Pricing (Drugs) SS'!$G:$G,MATCH(F107,'Pricing (Drugs) SS'!$A:$A,0)))</f>
        <v>DRUG ROOM</v>
      </c>
      <c r="R107" s="195" t="str">
        <f>INDEX('Pricing (Drugs) SS'!$H:$H,MATCH(F107,'Pricing (Drugs) SS'!$A:$A,0))</f>
        <v>Not on List</v>
      </c>
      <c r="S107" s="195" t="str">
        <f>IF(COUNTIFS('Version and Lists'!$F:$F,F107,'Version and Lists'!$G:$G,$M$22)&gt;0,"X","")</f>
        <v/>
      </c>
    </row>
    <row r="108" spans="1:19" ht="15" customHeight="1" x14ac:dyDescent="0.3">
      <c r="A108" s="185">
        <f>INDEX('Cart Formulary Calculator'!$A$12:$A$433,MATCH(F108,'Cart Formulary Calculator'!$F$12:$F$433,0))</f>
        <v>0</v>
      </c>
      <c r="B108" s="186" t="str">
        <f>INDEX('Pricing (Drugs) SS'!$B:$B,MATCH(F108,'Pricing (Drugs) SS'!$A:$A,0))</f>
        <v>PROPRANOLOL HYDROCHLORIDE INJECTION, USP 1mg/mL 1mL VIAL</v>
      </c>
      <c r="C108" s="187" t="str">
        <f>INDEX('Pricing (Drugs) SS'!$E:$E,MATCH(F108,'Pricing (Drugs) SS'!$A:$A,0))</f>
        <v>1mg/mL</v>
      </c>
      <c r="D108" s="188" t="str">
        <f>INDEX('Pricing (Drugs) SS'!$F:$F,MATCH(F108,'Pricing (Drugs) SS'!$A:$A,0))</f>
        <v>1mL</v>
      </c>
      <c r="E108" s="188" t="str">
        <f>INDEX('Pricing (Drugs) SS'!$D:$D,MATCH(F108,'Pricing (Drugs) SS'!$A:$A,0))</f>
        <v>0143-9872-10</v>
      </c>
      <c r="F108" s="189">
        <v>1010110</v>
      </c>
      <c r="G108" s="241">
        <f>INDEX('Pricing (Drugs) SS'!$I:$I,MATCH(F108,'Pricing (Drugs) SS'!$A:$A,0))</f>
        <v>2.468</v>
      </c>
      <c r="H108" s="241">
        <f t="shared" si="12"/>
        <v>0</v>
      </c>
      <c r="I108" s="190">
        <f>VLOOKUP(F108,'Price Sheet'!$A:$C,3,FALSE)</f>
        <v>23.69</v>
      </c>
      <c r="J108" s="191"/>
      <c r="K108" s="192">
        <f t="shared" si="8"/>
        <v>23.69</v>
      </c>
      <c r="L108" s="192">
        <f t="shared" si="9"/>
        <v>0</v>
      </c>
      <c r="M108" s="193" t="str">
        <f t="shared" si="11"/>
        <v/>
      </c>
      <c r="N108" s="194" t="str">
        <f t="shared" si="10"/>
        <v/>
      </c>
      <c r="O108" s="124" t="str">
        <f t="shared" si="13"/>
        <v/>
      </c>
      <c r="P108" s="124" t="str">
        <f>INDEX('Pricing (Drugs) SS'!$C:$C,MATCH(F108,'Pricing (Drugs) SS'!$A:$A,0))</f>
        <v>ACTIVE</v>
      </c>
      <c r="Q108" s="124" t="str">
        <f>IF(AND($L$23="Extra DEA Req",S108="X"),"SAFE- CONTROLLED",INDEX('Pricing (Drugs) SS'!$G:$G,MATCH(F108,'Pricing (Drugs) SS'!$A:$A,0)))</f>
        <v>DRUG ROOM</v>
      </c>
      <c r="R108" s="195" t="str">
        <f>INDEX('Pricing (Drugs) SS'!$H:$H,MATCH(F108,'Pricing (Drugs) SS'!$A:$A,0))</f>
        <v>Not on List</v>
      </c>
      <c r="S108" s="195" t="str">
        <f>IF(COUNTIFS('Version and Lists'!$F:$F,F108,'Version and Lists'!$G:$G,$M$22)&gt;0,"X","")</f>
        <v/>
      </c>
    </row>
    <row r="109" spans="1:19" ht="15" customHeight="1" x14ac:dyDescent="0.3">
      <c r="A109" s="185">
        <f>INDEX('Cart Formulary Calculator'!$A$12:$A$433,MATCH(F109,'Cart Formulary Calculator'!$F$12:$F$433,0))</f>
        <v>0</v>
      </c>
      <c r="B109" s="186" t="str">
        <f>INDEX('Pricing (Drugs) SS'!$B:$B,MATCH(F109,'Pricing (Drugs) SS'!$A:$A,0))</f>
        <v>LACTATED RINGER'S AND 5% DEXTROSE INJECTION, USP 1000mL BAG</v>
      </c>
      <c r="C109" s="187" t="str">
        <f>INDEX('Pricing (Drugs) SS'!$E:$E,MATCH(F109,'Pricing (Drugs) SS'!$A:$A,0))</f>
        <v>600mg/100mL</v>
      </c>
      <c r="D109" s="188" t="str">
        <f>INDEX('Pricing (Drugs) SS'!$F:$F,MATCH(F109,'Pricing (Drugs) SS'!$A:$A,0))</f>
        <v>1000mL</v>
      </c>
      <c r="E109" s="188" t="str">
        <f>INDEX('Pricing (Drugs) SS'!$D:$D,MATCH(F109,'Pricing (Drugs) SS'!$A:$A,0))</f>
        <v>0990-7929-09</v>
      </c>
      <c r="F109" s="189">
        <v>1014210</v>
      </c>
      <c r="G109" s="241">
        <f>INDEX('Pricing (Drugs) SS'!$I:$I,MATCH(F109,'Pricing (Drugs) SS'!$A:$A,0))</f>
        <v>4.75</v>
      </c>
      <c r="H109" s="241">
        <f t="shared" si="12"/>
        <v>0</v>
      </c>
      <c r="I109" s="190">
        <f>VLOOKUP(F109,'Price Sheet'!$A:$C,3,FALSE)</f>
        <v>20</v>
      </c>
      <c r="J109" s="191"/>
      <c r="K109" s="192">
        <f t="shared" si="8"/>
        <v>20</v>
      </c>
      <c r="L109" s="192">
        <f t="shared" si="9"/>
        <v>0</v>
      </c>
      <c r="M109" s="193" t="str">
        <f t="shared" si="11"/>
        <v/>
      </c>
      <c r="N109" s="194" t="str">
        <f t="shared" si="10"/>
        <v/>
      </c>
      <c r="O109" s="124" t="str">
        <f t="shared" si="13"/>
        <v/>
      </c>
      <c r="P109" s="124" t="str">
        <f>INDEX('Pricing (Drugs) SS'!$C:$C,MATCH(F109,'Pricing (Drugs) SS'!$A:$A,0))</f>
        <v>ACTIVE</v>
      </c>
      <c r="Q109" s="124" t="str">
        <f>IF(AND($L$23="Extra DEA Req",S109="X"),"SAFE- CONTROLLED",INDEX('Pricing (Drugs) SS'!$G:$G,MATCH(F109,'Pricing (Drugs) SS'!$A:$A,0)))</f>
        <v>DRUG ROOM</v>
      </c>
      <c r="R109" s="195" t="str">
        <f>INDEX('Pricing (Drugs) SS'!$H:$H,MATCH(F109,'Pricing (Drugs) SS'!$A:$A,0))</f>
        <v>Not on List</v>
      </c>
      <c r="S109" s="195" t="str">
        <f>IF(COUNTIFS('Version and Lists'!$F:$F,F109,'Version and Lists'!$G:$G,$M$22)&gt;0,"X","")</f>
        <v/>
      </c>
    </row>
    <row r="110" spans="1:19" ht="15" hidden="1" customHeight="1" x14ac:dyDescent="0.3">
      <c r="A110" s="185">
        <f>INDEX('Cart Formulary Calculator'!$A$12:$A$433,MATCH(F110,'Cart Formulary Calculator'!$F$12:$F$433,0))</f>
        <v>0</v>
      </c>
      <c r="B110" s="186" t="str">
        <f>INDEX('Pricing (Drugs) SS'!$B:$B,MATCH(F110,'Pricing (Drugs) SS'!$A:$A,0))</f>
        <v>LACTATED RINGER'S INJECTION, USP 1000mL BAG</v>
      </c>
      <c r="C110" s="187">
        <f>INDEX('Pricing (Drugs) SS'!$E:$E,MATCH(F110,'Pricing (Drugs) SS'!$A:$A,0))</f>
        <v>0</v>
      </c>
      <c r="D110" s="188" t="str">
        <f>INDEX('Pricing (Drugs) SS'!$F:$F,MATCH(F110,'Pricing (Drugs) SS'!$A:$A,0))</f>
        <v>1000mL</v>
      </c>
      <c r="E110" s="188" t="str">
        <f>INDEX('Pricing (Drugs) SS'!$D:$D,MATCH(F110,'Pricing (Drugs) SS'!$A:$A,0))</f>
        <v>0990-7953-09</v>
      </c>
      <c r="F110" s="189">
        <v>1013810</v>
      </c>
      <c r="G110" s="241">
        <f>INDEX('Pricing (Drugs) SS'!$I:$I,MATCH(F110,'Pricing (Drugs) SS'!$A:$A,0))</f>
        <v>3.75</v>
      </c>
      <c r="H110" s="241">
        <f t="shared" si="12"/>
        <v>0</v>
      </c>
      <c r="I110" s="190">
        <f>VLOOKUP(F110,'Price Sheet'!$A:$C,3,FALSE)</f>
        <v>20</v>
      </c>
      <c r="J110" s="191"/>
      <c r="K110" s="192">
        <f t="shared" si="8"/>
        <v>20</v>
      </c>
      <c r="L110" s="192">
        <f t="shared" si="9"/>
        <v>0</v>
      </c>
      <c r="M110" s="193" t="str">
        <f t="shared" si="11"/>
        <v/>
      </c>
      <c r="N110" s="194" t="str">
        <f t="shared" si="10"/>
        <v/>
      </c>
      <c r="O110" s="124" t="str">
        <f t="shared" si="13"/>
        <v/>
      </c>
      <c r="P110" s="124" t="str">
        <f>INDEX('Pricing (Drugs) SS'!$C:$C,MATCH(F110,'Pricing (Drugs) SS'!$A:$A,0))</f>
        <v>ACTIVE</v>
      </c>
      <c r="Q110" s="124" t="str">
        <f>IF(AND($L$23="Extra DEA Req",S110="X"),"SAFE- CONTROLLED",INDEX('Pricing (Drugs) SS'!$G:$G,MATCH(F110,'Pricing (Drugs) SS'!$A:$A,0)))</f>
        <v>DRUG ROOM</v>
      </c>
      <c r="R110" s="195" t="str">
        <f>INDEX('Pricing (Drugs) SS'!$H:$H,MATCH(F110,'Pricing (Drugs) SS'!$A:$A,0))</f>
        <v>Not on List</v>
      </c>
      <c r="S110" s="195" t="str">
        <f>IF(COUNTIFS('Version and Lists'!$F:$F,F110,'Version and Lists'!$G:$G,$M$22)&gt;0,"X","")</f>
        <v/>
      </c>
    </row>
    <row r="111" spans="1:19" ht="15" hidden="1" customHeight="1" x14ac:dyDescent="0.3">
      <c r="A111" s="185">
        <f>INDEX('Cart Formulary Calculator'!$A$12:$A$433,MATCH(F111,'Cart Formulary Calculator'!$F$12:$F$433,0))</f>
        <v>0</v>
      </c>
      <c r="B111" s="186" t="str">
        <f>INDEX('Pricing (Drugs) SS'!$B:$B,MATCH(F111,'Pricing (Drugs) SS'!$A:$A,0))</f>
        <v>LIDOCAINE HCI INJECTION, USP 2% (1000mg/50mL) (20mg/mL) 50 mL VIAL</v>
      </c>
      <c r="C111" s="187" t="str">
        <f>INDEX('Pricing (Drugs) SS'!$E:$E,MATCH(F111,'Pricing (Drugs) SS'!$A:$A,0))</f>
        <v>20 mg/mL</v>
      </c>
      <c r="D111" s="188" t="str">
        <f>INDEX('Pricing (Drugs) SS'!$F:$F,MATCH(F111,'Pricing (Drugs) SS'!$A:$A,0))</f>
        <v>50 mL</v>
      </c>
      <c r="E111" s="188" t="str">
        <f>INDEX('Pricing (Drugs) SS'!$D:$D,MATCH(F111,'Pricing (Drugs) SS'!$A:$A,0))</f>
        <v>0143-9575-10</v>
      </c>
      <c r="F111" s="189">
        <v>1012280</v>
      </c>
      <c r="G111" s="241">
        <f>INDEX('Pricing (Drugs) SS'!$I:$I,MATCH(F111,'Pricing (Drugs) SS'!$A:$A,0))</f>
        <v>1.9</v>
      </c>
      <c r="H111" s="241">
        <f t="shared" si="12"/>
        <v>0</v>
      </c>
      <c r="I111" s="190">
        <f>VLOOKUP(F111,'Price Sheet'!$A:$C,3,FALSE)</f>
        <v>16.95</v>
      </c>
      <c r="J111" s="191"/>
      <c r="K111" s="192">
        <f t="shared" si="8"/>
        <v>16.95</v>
      </c>
      <c r="L111" s="192">
        <f t="shared" si="9"/>
        <v>0</v>
      </c>
      <c r="M111" s="193" t="str">
        <f t="shared" si="11"/>
        <v/>
      </c>
      <c r="N111" s="194" t="str">
        <f t="shared" si="10"/>
        <v/>
      </c>
      <c r="O111" s="124" t="str">
        <f t="shared" si="13"/>
        <v/>
      </c>
      <c r="P111" s="124" t="str">
        <f>INDEX('Pricing (Drugs) SS'!$C:$C,MATCH(F111,'Pricing (Drugs) SS'!$A:$A,0))</f>
        <v>ACTIVE</v>
      </c>
      <c r="Q111" s="124" t="str">
        <f>IF(AND($L$23="Extra DEA Req",S111="X"),"SAFE- CONTROLLED",INDEX('Pricing (Drugs) SS'!$G:$G,MATCH(F111,'Pricing (Drugs) SS'!$A:$A,0)))</f>
        <v>DRUG ROOM</v>
      </c>
      <c r="R111" s="195" t="str">
        <f>INDEX('Pricing (Drugs) SS'!$H:$H,MATCH(F111,'Pricing (Drugs) SS'!$A:$A,0))</f>
        <v>Not on List</v>
      </c>
      <c r="S111" s="195" t="str">
        <f>IF(COUNTIFS('Version and Lists'!$F:$F,F111,'Version and Lists'!$G:$G,$M$22)&gt;0,"X","")</f>
        <v/>
      </c>
    </row>
    <row r="112" spans="1:19" ht="15" hidden="1" customHeight="1" x14ac:dyDescent="0.3">
      <c r="A112" s="185">
        <f>INDEX('Cart Formulary Calculator'!$A$12:$A$433,MATCH(F112,'Cart Formulary Calculator'!$F$12:$F$433,0))</f>
        <v>0</v>
      </c>
      <c r="B112" s="186" t="str">
        <f>INDEX('Pricing (Drugs) SS'!$B:$B,MATCH(F112,'Pricing (Drugs) SS'!$A:$A,0))</f>
        <v>LIDOCAINE HCl INJECTION, USP 1% (50mg/5mL) (10mg/mL) 5 mL VIAL</v>
      </c>
      <c r="C112" s="187" t="str">
        <f>INDEX('Pricing (Drugs) SS'!$E:$E,MATCH(F112,'Pricing (Drugs) SS'!$A:$A,0))</f>
        <v>10mg/mL</v>
      </c>
      <c r="D112" s="188" t="str">
        <f>INDEX('Pricing (Drugs) SS'!$F:$F,MATCH(F112,'Pricing (Drugs) SS'!$A:$A,0))</f>
        <v>5mL</v>
      </c>
      <c r="E112" s="188" t="str">
        <f>INDEX('Pricing (Drugs) SS'!$D:$D,MATCH(F112,'Pricing (Drugs) SS'!$A:$A,0))</f>
        <v>0143-9595-25</v>
      </c>
      <c r="F112" s="189">
        <v>1012580</v>
      </c>
      <c r="G112" s="241">
        <f>INDEX('Pricing (Drugs) SS'!$I:$I,MATCH(F112,'Pricing (Drugs) SS'!$A:$A,0))</f>
        <v>0.8</v>
      </c>
      <c r="H112" s="241">
        <f t="shared" si="12"/>
        <v>0</v>
      </c>
      <c r="I112" s="190">
        <f>VLOOKUP(F112,'Price Sheet'!$A:$C,3,FALSE)</f>
        <v>5.99</v>
      </c>
      <c r="J112" s="191"/>
      <c r="K112" s="192">
        <f t="shared" si="8"/>
        <v>5.99</v>
      </c>
      <c r="L112" s="192">
        <f t="shared" si="9"/>
        <v>0</v>
      </c>
      <c r="M112" s="193" t="str">
        <f t="shared" si="11"/>
        <v/>
      </c>
      <c r="N112" s="194" t="str">
        <f t="shared" si="10"/>
        <v/>
      </c>
      <c r="O112" s="124" t="str">
        <f t="shared" si="13"/>
        <v/>
      </c>
      <c r="P112" s="124" t="str">
        <f>INDEX('Pricing (Drugs) SS'!$C:$C,MATCH(F112,'Pricing (Drugs) SS'!$A:$A,0))</f>
        <v>ACTIVE</v>
      </c>
      <c r="Q112" s="124" t="str">
        <f>IF(AND($L$23="Extra DEA Req",S112="X"),"SAFE- CONTROLLED",INDEX('Pricing (Drugs) SS'!$G:$G,MATCH(F112,'Pricing (Drugs) SS'!$A:$A,0)))</f>
        <v>DRUG ROOM</v>
      </c>
      <c r="R112" s="195" t="str">
        <f>INDEX('Pricing (Drugs) SS'!$H:$H,MATCH(F112,'Pricing (Drugs) SS'!$A:$A,0))</f>
        <v>Not on List</v>
      </c>
      <c r="S112" s="195" t="str">
        <f>IF(COUNTIFS('Version and Lists'!$F:$F,F112,'Version and Lists'!$G:$G,$M$22)&gt;0,"X","")</f>
        <v/>
      </c>
    </row>
    <row r="113" spans="1:19" ht="15" hidden="1" customHeight="1" x14ac:dyDescent="0.3">
      <c r="A113" s="185">
        <f>INDEX('Cart Formulary Calculator'!$A$12:$A$433,MATCH(F113,'Cart Formulary Calculator'!$F$12:$F$433,0))</f>
        <v>0</v>
      </c>
      <c r="B113" s="186" t="str">
        <f>INDEX('Pricing (Drugs) SS'!$B:$B,MATCH(F113,'Pricing (Drugs) SS'!$A:$A,0))</f>
        <v>LIDOCAINE HCI INJECTION, USP 2% (100 mg/5 mL) (20 mg/mL) 5mL VIAL</v>
      </c>
      <c r="C113" s="187" t="str">
        <f>INDEX('Pricing (Drugs) SS'!$E:$E,MATCH(F113,'Pricing (Drugs) SS'!$A:$A,0))</f>
        <v>20mg/mL</v>
      </c>
      <c r="D113" s="188" t="str">
        <f>INDEX('Pricing (Drugs) SS'!$F:$F,MATCH(F113,'Pricing (Drugs) SS'!$A:$A,0))</f>
        <v>5mL</v>
      </c>
      <c r="E113" s="188" t="str">
        <f>INDEX('Pricing (Drugs) SS'!$D:$D,MATCH(F113,'Pricing (Drugs) SS'!$A:$A,0))</f>
        <v>0143-9594-25</v>
      </c>
      <c r="F113" s="189">
        <v>1012350</v>
      </c>
      <c r="G113" s="241">
        <f>INDEX('Pricing (Drugs) SS'!$I:$I,MATCH(F113,'Pricing (Drugs) SS'!$A:$A,0))</f>
        <v>1.528</v>
      </c>
      <c r="H113" s="241">
        <f t="shared" si="12"/>
        <v>0</v>
      </c>
      <c r="I113" s="190">
        <f>VLOOKUP(F113,'Price Sheet'!$A:$C,3,FALSE)</f>
        <v>11.65</v>
      </c>
      <c r="J113" s="191"/>
      <c r="K113" s="192">
        <f t="shared" si="8"/>
        <v>11.65</v>
      </c>
      <c r="L113" s="192">
        <f t="shared" si="9"/>
        <v>0</v>
      </c>
      <c r="M113" s="193" t="str">
        <f t="shared" si="11"/>
        <v/>
      </c>
      <c r="N113" s="194" t="str">
        <f t="shared" si="10"/>
        <v/>
      </c>
      <c r="O113" s="124" t="str">
        <f t="shared" si="13"/>
        <v/>
      </c>
      <c r="P113" s="124" t="str">
        <f>INDEX('Pricing (Drugs) SS'!$C:$C,MATCH(F113,'Pricing (Drugs) SS'!$A:$A,0))</f>
        <v>ACTIVE</v>
      </c>
      <c r="Q113" s="124" t="str">
        <f>IF(AND($L$23="Extra DEA Req",S113="X"),"SAFE- CONTROLLED",INDEX('Pricing (Drugs) SS'!$G:$G,MATCH(F113,'Pricing (Drugs) SS'!$A:$A,0)))</f>
        <v>DRUG ROOM</v>
      </c>
      <c r="R113" s="195" t="str">
        <f>INDEX('Pricing (Drugs) SS'!$H:$H,MATCH(F113,'Pricing (Drugs) SS'!$A:$A,0))</f>
        <v>Not on List</v>
      </c>
      <c r="S113" s="195" t="str">
        <f>IF(COUNTIFS('Version and Lists'!$F:$F,F113,'Version and Lists'!$G:$G,$M$22)&gt;0,"X","")</f>
        <v/>
      </c>
    </row>
    <row r="114" spans="1:19" ht="15" hidden="1" customHeight="1" x14ac:dyDescent="0.3">
      <c r="A114" s="185">
        <f>INDEX('Cart Formulary Calculator'!$A$12:$A$433,MATCH(F114,'Cart Formulary Calculator'!$F$12:$F$433,0))</f>
        <v>0</v>
      </c>
      <c r="B114" s="186" t="str">
        <f>INDEX('Pricing (Drugs) SS'!$B:$B,MATCH(F114,'Pricing (Drugs) SS'!$A:$A,0))</f>
        <v>XYLOCAINE® (LIDOCAINE HCl &amp; EPI INJ, USP) W/ EPI 1:100,000 1% 200mg/20mL (10mg/mL) 20mL VIAL</v>
      </c>
      <c r="C114" s="187" t="str">
        <f>INDEX('Pricing (Drugs) SS'!$E:$E,MATCH(F114,'Pricing (Drugs) SS'!$A:$A,0))</f>
        <v>10mg/mL</v>
      </c>
      <c r="D114" s="188" t="str">
        <f>INDEX('Pricing (Drugs) SS'!$F:$F,MATCH(F114,'Pricing (Drugs) SS'!$A:$A,0))</f>
        <v>20mL</v>
      </c>
      <c r="E114" s="188" t="str">
        <f>INDEX('Pricing (Drugs) SS'!$D:$D,MATCH(F114,'Pricing (Drugs) SS'!$A:$A,0))</f>
        <v>63323-482-27</v>
      </c>
      <c r="F114" s="189">
        <v>1019980</v>
      </c>
      <c r="G114" s="241">
        <f>INDEX('Pricing (Drugs) SS'!$I:$I,MATCH(F114,'Pricing (Drugs) SS'!$A:$A,0))</f>
        <v>5.6</v>
      </c>
      <c r="H114" s="241">
        <f t="shared" si="12"/>
        <v>0</v>
      </c>
      <c r="I114" s="190">
        <f>VLOOKUP(F114,'Price Sheet'!$A:$C,3,FALSE)</f>
        <v>17.95</v>
      </c>
      <c r="J114" s="191"/>
      <c r="K114" s="192">
        <f t="shared" si="8"/>
        <v>17.95</v>
      </c>
      <c r="L114" s="192">
        <f t="shared" si="9"/>
        <v>0</v>
      </c>
      <c r="M114" s="193" t="str">
        <f t="shared" si="11"/>
        <v/>
      </c>
      <c r="N114" s="194" t="str">
        <f t="shared" si="10"/>
        <v/>
      </c>
      <c r="O114" s="124" t="str">
        <f t="shared" si="13"/>
        <v/>
      </c>
      <c r="P114" s="124" t="str">
        <f>INDEX('Pricing (Drugs) SS'!$C:$C,MATCH(F114,'Pricing (Drugs) SS'!$A:$A,0))</f>
        <v>ACTIVE</v>
      </c>
      <c r="Q114" s="124" t="str">
        <f>IF(AND($L$23="Extra DEA Req",S114="X"),"SAFE- CONTROLLED",INDEX('Pricing (Drugs) SS'!$G:$G,MATCH(F114,'Pricing (Drugs) SS'!$A:$A,0)))</f>
        <v>DRUG ROOM</v>
      </c>
      <c r="R114" s="195" t="str">
        <f>INDEX('Pricing (Drugs) SS'!$H:$H,MATCH(F114,'Pricing (Drugs) SS'!$A:$A,0))</f>
        <v>Not on List</v>
      </c>
      <c r="S114" s="195" t="str">
        <f>IF(COUNTIFS('Version and Lists'!$F:$F,F114,'Version and Lists'!$G:$G,$M$22)&gt;0,"X","")</f>
        <v/>
      </c>
    </row>
    <row r="115" spans="1:19" ht="15" hidden="1" customHeight="1" x14ac:dyDescent="0.3">
      <c r="A115" s="185">
        <f>INDEX('Cart Formulary Calculator'!$A$12:$A$433,MATCH(F115,'Cart Formulary Calculator'!$F$12:$F$433,0))</f>
        <v>0</v>
      </c>
      <c r="B115" s="186" t="str">
        <f>INDEX('Pricing (Drugs) SS'!$B:$B,MATCH(F115,'Pricing (Drugs) SS'!$A:$A,0))</f>
        <v>XYLOCAINE(R) (LIDOCAINE HCI AND EPINEPHRINE INJECTION, USP) WITH EPINEPHRINE 1:100,000 2% 400mg PER 20mL (20mg PER mL) 20mL VIAL</v>
      </c>
      <c r="C115" s="187" t="str">
        <f>INDEX('Pricing (Drugs) SS'!$E:$E,MATCH(F115,'Pricing (Drugs) SS'!$A:$A,0))</f>
        <v>2% &amp;1:100,000</v>
      </c>
      <c r="D115" s="188" t="str">
        <f>INDEX('Pricing (Drugs) SS'!$F:$F,MATCH(F115,'Pricing (Drugs) SS'!$A:$A,0))</f>
        <v>20mL</v>
      </c>
      <c r="E115" s="188" t="str">
        <f>INDEX('Pricing (Drugs) SS'!$D:$D,MATCH(F115,'Pricing (Drugs) SS'!$A:$A,0))</f>
        <v>63323-483-27</v>
      </c>
      <c r="F115" s="189">
        <v>1013700</v>
      </c>
      <c r="G115" s="241">
        <f>INDEX('Pricing (Drugs) SS'!$I:$I,MATCH(F115,'Pricing (Drugs) SS'!$A:$A,0))</f>
        <v>5.68</v>
      </c>
      <c r="H115" s="241">
        <f t="shared" si="12"/>
        <v>0</v>
      </c>
      <c r="I115" s="190">
        <f>VLOOKUP(F115,'Price Sheet'!$A:$C,3,FALSE)</f>
        <v>17.989999999999998</v>
      </c>
      <c r="J115" s="191"/>
      <c r="K115" s="192">
        <f t="shared" si="8"/>
        <v>17.989999999999998</v>
      </c>
      <c r="L115" s="192">
        <f t="shared" si="9"/>
        <v>0</v>
      </c>
      <c r="M115" s="193" t="str">
        <f t="shared" si="11"/>
        <v/>
      </c>
      <c r="N115" s="194" t="str">
        <f t="shared" si="10"/>
        <v/>
      </c>
      <c r="O115" s="124" t="str">
        <f t="shared" si="13"/>
        <v/>
      </c>
      <c r="P115" s="124" t="str">
        <f>INDEX('Pricing (Drugs) SS'!$C:$C,MATCH(F115,'Pricing (Drugs) SS'!$A:$A,0))</f>
        <v>ACTIVE</v>
      </c>
      <c r="Q115" s="124" t="str">
        <f>IF(AND($L$23="Extra DEA Req",S115="X"),"SAFE- CONTROLLED",INDEX('Pricing (Drugs) SS'!$G:$G,MATCH(F115,'Pricing (Drugs) SS'!$A:$A,0)))</f>
        <v>DRUG ROOM</v>
      </c>
      <c r="R115" s="195" t="str">
        <f>INDEX('Pricing (Drugs) SS'!$H:$H,MATCH(F115,'Pricing (Drugs) SS'!$A:$A,0))</f>
        <v>Not on List</v>
      </c>
      <c r="S115" s="195" t="str">
        <f>IF(COUNTIFS('Version and Lists'!$F:$F,F115,'Version and Lists'!$G:$G,$M$22)&gt;0,"X","")</f>
        <v/>
      </c>
    </row>
    <row r="116" spans="1:19" ht="15" hidden="1" customHeight="1" x14ac:dyDescent="0.3">
      <c r="A116" s="185">
        <f>INDEX('Cart Formulary Calculator'!$A$12:$A$433,MATCH(F116,'Cart Formulary Calculator'!$F$12:$F$433,0))</f>
        <v>0</v>
      </c>
      <c r="B116" s="186" t="str">
        <f>INDEX('Pricing (Drugs) SS'!$B:$B,MATCH(F116,'Pricing (Drugs) SS'!$A:$A,0))</f>
        <v>LIDOCAINE HCI INJ., USP, 2% 100 mg per 5 mL 100 mg LUER-JET™ SYR</v>
      </c>
      <c r="C116" s="187" t="str">
        <f>INDEX('Pricing (Drugs) SS'!$E:$E,MATCH(F116,'Pricing (Drugs) SS'!$A:$A,0))</f>
        <v>20 mg/1 mL</v>
      </c>
      <c r="D116" s="188" t="str">
        <f>INDEX('Pricing (Drugs) SS'!$F:$F,MATCH(F116,'Pricing (Drugs) SS'!$A:$A,0))</f>
        <v>5 mL</v>
      </c>
      <c r="E116" s="188" t="str">
        <f>INDEX('Pricing (Drugs) SS'!$D:$D,MATCH(F116,'Pricing (Drugs) SS'!$A:$A,0))</f>
        <v>76329-3390-1</v>
      </c>
      <c r="F116" s="189">
        <v>1012400</v>
      </c>
      <c r="G116" s="241">
        <f>INDEX('Pricing (Drugs) SS'!$I:$I,MATCH(F116,'Pricing (Drugs) SS'!$A:$A,0))</f>
        <v>9.85</v>
      </c>
      <c r="H116" s="241">
        <f t="shared" si="12"/>
        <v>0</v>
      </c>
      <c r="I116" s="190">
        <f>VLOOKUP(F116,'Price Sheet'!$A:$C,3,FALSE)</f>
        <v>42.95</v>
      </c>
      <c r="J116" s="191"/>
      <c r="K116" s="192">
        <f t="shared" si="8"/>
        <v>42.95</v>
      </c>
      <c r="L116" s="192">
        <f t="shared" si="9"/>
        <v>0</v>
      </c>
      <c r="M116" s="193" t="str">
        <f t="shared" si="11"/>
        <v/>
      </c>
      <c r="N116" s="194" t="str">
        <f t="shared" si="10"/>
        <v/>
      </c>
      <c r="O116" s="124" t="str">
        <f t="shared" si="13"/>
        <v/>
      </c>
      <c r="P116" s="124" t="str">
        <f>INDEX('Pricing (Drugs) SS'!$C:$C,MATCH(F116,'Pricing (Drugs) SS'!$A:$A,0))</f>
        <v>ACTIVE</v>
      </c>
      <c r="Q116" s="124" t="str">
        <f>IF(AND($L$23="Extra DEA Req",S116="X"),"SAFE- CONTROLLED",INDEX('Pricing (Drugs) SS'!$G:$G,MATCH(F116,'Pricing (Drugs) SS'!$A:$A,0)))</f>
        <v>DRUG ROOM</v>
      </c>
      <c r="R116" s="195" t="str">
        <f>INDEX('Pricing (Drugs) SS'!$H:$H,MATCH(F116,'Pricing (Drugs) SS'!$A:$A,0))</f>
        <v>Not on List</v>
      </c>
      <c r="S116" s="195" t="str">
        <f>IF(COUNTIFS('Version and Lists'!$F:$F,F116,'Version and Lists'!$G:$G,$M$22)&gt;0,"X","")</f>
        <v/>
      </c>
    </row>
    <row r="117" spans="1:19" ht="15" hidden="1" customHeight="1" x14ac:dyDescent="0.3">
      <c r="A117" s="185">
        <f>INDEX('Cart Formulary Calculator'!$A$12:$A$433,MATCH(F117,'Cart Formulary Calculator'!$F$12:$F$433,0))</f>
        <v>0</v>
      </c>
      <c r="B117" s="186" t="str">
        <f>INDEX('Pricing (Drugs) SS'!$B:$B,MATCH(F117,'Pricing (Drugs) SS'!$A:$A,0))</f>
        <v>LIDOCAINE HCI JELLY, USP, 2%, 100mg URO-JET</v>
      </c>
      <c r="C117" s="187" t="str">
        <f>INDEX('Pricing (Drugs) SS'!$E:$E,MATCH(F117,'Pricing (Drugs) SS'!$A:$A,0))</f>
        <v>20mg/mL</v>
      </c>
      <c r="D117" s="188" t="str">
        <f>INDEX('Pricing (Drugs) SS'!$F:$F,MATCH(F117,'Pricing (Drugs) SS'!$A:$A,0))</f>
        <v>5mL</v>
      </c>
      <c r="E117" s="188" t="str">
        <f>INDEX('Pricing (Drugs) SS'!$D:$D,MATCH(F117,'Pricing (Drugs) SS'!$A:$A,0))</f>
        <v>76329-3012-5</v>
      </c>
      <c r="F117" s="189">
        <v>1012160</v>
      </c>
      <c r="G117" s="241">
        <f>INDEX('Pricing (Drugs) SS'!$I:$I,MATCH(F117,'Pricing (Drugs) SS'!$A:$A,0))</f>
        <v>6.32</v>
      </c>
      <c r="H117" s="241">
        <f t="shared" si="12"/>
        <v>0</v>
      </c>
      <c r="I117" s="190">
        <f>VLOOKUP(F117,'Price Sheet'!$A:$C,3,FALSE)</f>
        <v>79.95</v>
      </c>
      <c r="J117" s="191"/>
      <c r="K117" s="192">
        <f t="shared" si="8"/>
        <v>79.95</v>
      </c>
      <c r="L117" s="192">
        <f t="shared" si="9"/>
        <v>0</v>
      </c>
      <c r="M117" s="193" t="str">
        <f t="shared" si="11"/>
        <v/>
      </c>
      <c r="N117" s="194" t="str">
        <f t="shared" si="10"/>
        <v/>
      </c>
      <c r="O117" s="124" t="str">
        <f t="shared" si="13"/>
        <v/>
      </c>
      <c r="P117" s="124" t="str">
        <f>INDEX('Pricing (Drugs) SS'!$C:$C,MATCH(F117,'Pricing (Drugs) SS'!$A:$A,0))</f>
        <v>ACTIVE</v>
      </c>
      <c r="Q117" s="124" t="str">
        <f>IF(AND($L$23="Extra DEA Req",S117="X"),"SAFE- CONTROLLED",INDEX('Pricing (Drugs) SS'!$G:$G,MATCH(F117,'Pricing (Drugs) SS'!$A:$A,0)))</f>
        <v>DRUG ROOM</v>
      </c>
      <c r="R117" s="195" t="str">
        <f>INDEX('Pricing (Drugs) SS'!$H:$H,MATCH(F117,'Pricing (Drugs) SS'!$A:$A,0))</f>
        <v>Not on List</v>
      </c>
      <c r="S117" s="195" t="str">
        <f>IF(COUNTIFS('Version and Lists'!$F:$F,F117,'Version and Lists'!$G:$G,$M$22)&gt;0,"X","")</f>
        <v/>
      </c>
    </row>
    <row r="118" spans="1:19" ht="15" hidden="1" customHeight="1" x14ac:dyDescent="0.3">
      <c r="A118" s="185">
        <f>INDEX('Cart Formulary Calculator'!$A$12:$A$433,MATCH(F118,'Cart Formulary Calculator'!$F$12:$F$433,0))</f>
        <v>0</v>
      </c>
      <c r="B118" s="186" t="str">
        <f>INDEX('Pricing (Drugs) SS'!$B:$B,MATCH(F118,'Pricing (Drugs) SS'!$A:$A,0))</f>
        <v>LIDOCAINE HCI AND 5% DEXTROSE INJECTION USP 2g (4mg/mL) 500mL BAG</v>
      </c>
      <c r="C118" s="187" t="str">
        <f>INDEX('Pricing (Drugs) SS'!$E:$E,MATCH(F118,'Pricing (Drugs) SS'!$A:$A,0))</f>
        <v>2g (4mg/mL)</v>
      </c>
      <c r="D118" s="188" t="str">
        <f>INDEX('Pricing (Drugs) SS'!$F:$F,MATCH(F118,'Pricing (Drugs) SS'!$A:$A,0))</f>
        <v>500mL</v>
      </c>
      <c r="E118" s="188" t="str">
        <f>INDEX('Pricing (Drugs) SS'!$D:$D,MATCH(F118,'Pricing (Drugs) SS'!$A:$A,0))</f>
        <v>0338-0409-03</v>
      </c>
      <c r="F118" s="189">
        <v>1008590</v>
      </c>
      <c r="G118" s="241">
        <f>INDEX('Pricing (Drugs) SS'!$I:$I,MATCH(F118,'Pricing (Drugs) SS'!$A:$A,0))</f>
        <v>7.2061111111111096</v>
      </c>
      <c r="H118" s="241">
        <f t="shared" si="12"/>
        <v>0</v>
      </c>
      <c r="I118" s="190">
        <f>VLOOKUP(F118,'Price Sheet'!$A:$C,3,FALSE)</f>
        <v>24.72</v>
      </c>
      <c r="J118" s="191"/>
      <c r="K118" s="192">
        <f t="shared" si="8"/>
        <v>24.72</v>
      </c>
      <c r="L118" s="192">
        <f t="shared" si="9"/>
        <v>0</v>
      </c>
      <c r="M118" s="193" t="str">
        <f t="shared" si="11"/>
        <v/>
      </c>
      <c r="N118" s="194" t="str">
        <f t="shared" si="10"/>
        <v/>
      </c>
      <c r="O118" s="124" t="str">
        <f t="shared" si="13"/>
        <v/>
      </c>
      <c r="P118" s="124" t="str">
        <f>INDEX('Pricing (Drugs) SS'!$C:$C,MATCH(F118,'Pricing (Drugs) SS'!$A:$A,0))</f>
        <v>ACTIVE</v>
      </c>
      <c r="Q118" s="124" t="str">
        <f>IF(AND($L$23="Extra DEA Req",S118="X"),"SAFE- CONTROLLED",INDEX('Pricing (Drugs) SS'!$G:$G,MATCH(F118,'Pricing (Drugs) SS'!$A:$A,0)))</f>
        <v>DRUG ROOM</v>
      </c>
      <c r="R118" s="195" t="str">
        <f>INDEX('Pricing (Drugs) SS'!$H:$H,MATCH(F118,'Pricing (Drugs) SS'!$A:$A,0))</f>
        <v>Not on List</v>
      </c>
      <c r="S118" s="195" t="str">
        <f>IF(COUNTIFS('Version and Lists'!$F:$F,F118,'Version and Lists'!$G:$G,$M$22)&gt;0,"X","")</f>
        <v/>
      </c>
    </row>
    <row r="119" spans="1:19" ht="15" hidden="1" customHeight="1" x14ac:dyDescent="0.3">
      <c r="A119" s="185">
        <f>INDEX('Cart Formulary Calculator'!$A$12:$A$433,MATCH(F119,'Cart Formulary Calculator'!$F$12:$F$433,0))</f>
        <v>0</v>
      </c>
      <c r="B119" s="186" t="str">
        <f>INDEX('Pricing (Drugs) SS'!$B:$B,MATCH(F119,'Pricing (Drugs) SS'!$A:$A,0))</f>
        <v>MAGNESIUM SULFATE INJECTION, USP 50% 1gram per 2mL (500mg per mL) 2mL VIAL</v>
      </c>
      <c r="C119" s="187" t="str">
        <f>INDEX('Pricing (Drugs) SS'!$E:$E,MATCH(F119,'Pricing (Drugs) SS'!$A:$A,0))</f>
        <v>500mg/mL</v>
      </c>
      <c r="D119" s="188" t="str">
        <f>INDEX('Pricing (Drugs) SS'!$F:$F,MATCH(F119,'Pricing (Drugs) SS'!$A:$A,0))</f>
        <v>2mL</v>
      </c>
      <c r="E119" s="188" t="str">
        <f>INDEX('Pricing (Drugs) SS'!$D:$D,MATCH(F119,'Pricing (Drugs) SS'!$A:$A,0))</f>
        <v>63323-064-03</v>
      </c>
      <c r="F119" s="189">
        <v>1011950</v>
      </c>
      <c r="G119" s="241">
        <f>INDEX('Pricing (Drugs) SS'!$I:$I,MATCH(F119,'Pricing (Drugs) SS'!$A:$A,0))</f>
        <v>2.58</v>
      </c>
      <c r="H119" s="241">
        <f t="shared" si="12"/>
        <v>0</v>
      </c>
      <c r="I119" s="190">
        <f>VLOOKUP(F119,'Price Sheet'!$A:$C,3,FALSE)</f>
        <v>8.99</v>
      </c>
      <c r="J119" s="191"/>
      <c r="K119" s="192">
        <f t="shared" si="8"/>
        <v>8.99</v>
      </c>
      <c r="L119" s="192">
        <f t="shared" si="9"/>
        <v>0</v>
      </c>
      <c r="M119" s="193" t="str">
        <f t="shared" si="11"/>
        <v/>
      </c>
      <c r="N119" s="194" t="str">
        <f t="shared" si="10"/>
        <v/>
      </c>
      <c r="O119" s="124" t="str">
        <f t="shared" si="13"/>
        <v/>
      </c>
      <c r="P119" s="124" t="str">
        <f>INDEX('Pricing (Drugs) SS'!$C:$C,MATCH(F119,'Pricing (Drugs) SS'!$A:$A,0))</f>
        <v>ACTIVE</v>
      </c>
      <c r="Q119" s="124" t="str">
        <f>IF(AND($L$23="Extra DEA Req",S119="X"),"SAFE- CONTROLLED",INDEX('Pricing (Drugs) SS'!$G:$G,MATCH(F119,'Pricing (Drugs) SS'!$A:$A,0)))</f>
        <v>DRUG ROOM</v>
      </c>
      <c r="R119" s="195" t="str">
        <f>INDEX('Pricing (Drugs) SS'!$H:$H,MATCH(F119,'Pricing (Drugs) SS'!$A:$A,0))</f>
        <v>Not on List</v>
      </c>
      <c r="S119" s="195" t="str">
        <f>IF(COUNTIFS('Version and Lists'!$F:$F,F119,'Version and Lists'!$G:$G,$M$22)&gt;0,"X","")</f>
        <v/>
      </c>
    </row>
    <row r="120" spans="1:19" ht="15" hidden="1" customHeight="1" x14ac:dyDescent="0.3">
      <c r="A120" s="185">
        <f>INDEX('Cart Formulary Calculator'!$A$12:$A$433,MATCH(F120,'Cart Formulary Calculator'!$F$12:$F$433,0))</f>
        <v>0</v>
      </c>
      <c r="B120" s="186" t="str">
        <f>INDEX('Pricing (Drugs) SS'!$B:$B,MATCH(F120,'Pricing (Drugs) SS'!$A:$A,0))</f>
        <v>MAGNESIUM SULFATE INJECTION, USP 50% 5 grams per 10mL (500 mg per mL) 10mL VIAL</v>
      </c>
      <c r="C120" s="187" t="str">
        <f>INDEX('Pricing (Drugs) SS'!$E:$E,MATCH(F120,'Pricing (Drugs) SS'!$A:$A,0))</f>
        <v>500 mg per mL</v>
      </c>
      <c r="D120" s="188" t="str">
        <f>INDEX('Pricing (Drugs) SS'!$F:$F,MATCH(F120,'Pricing (Drugs) SS'!$A:$A,0))</f>
        <v>10mL</v>
      </c>
      <c r="E120" s="188" t="str">
        <f>INDEX('Pricing (Drugs) SS'!$D:$D,MATCH(F120,'Pricing (Drugs) SS'!$A:$A,0))</f>
        <v>63323-064-11</v>
      </c>
      <c r="F120" s="189">
        <v>1012710</v>
      </c>
      <c r="G120" s="241">
        <f>INDEX('Pricing (Drugs) SS'!$I:$I,MATCH(F120,'Pricing (Drugs) SS'!$A:$A,0))</f>
        <v>3.21</v>
      </c>
      <c r="H120" s="241">
        <f t="shared" si="12"/>
        <v>0</v>
      </c>
      <c r="I120" s="190">
        <f>VLOOKUP(F120,'Price Sheet'!$A:$C,3,FALSE)</f>
        <v>25.99</v>
      </c>
      <c r="J120" s="191"/>
      <c r="K120" s="192">
        <f t="shared" si="8"/>
        <v>25.99</v>
      </c>
      <c r="L120" s="192">
        <f t="shared" si="9"/>
        <v>0</v>
      </c>
      <c r="M120" s="193" t="str">
        <f t="shared" si="11"/>
        <v/>
      </c>
      <c r="N120" s="194" t="str">
        <f t="shared" si="10"/>
        <v/>
      </c>
      <c r="O120" s="124" t="str">
        <f t="shared" si="13"/>
        <v/>
      </c>
      <c r="P120" s="124" t="str">
        <f>INDEX('Pricing (Drugs) SS'!$C:$C,MATCH(F120,'Pricing (Drugs) SS'!$A:$A,0))</f>
        <v>ACTIVE</v>
      </c>
      <c r="Q120" s="124" t="str">
        <f>IF(AND($L$23="Extra DEA Req",S120="X"),"SAFE- CONTROLLED",INDEX('Pricing (Drugs) SS'!$G:$G,MATCH(F120,'Pricing (Drugs) SS'!$A:$A,0)))</f>
        <v>DRUG ROOM</v>
      </c>
      <c r="R120" s="195" t="str">
        <f>INDEX('Pricing (Drugs) SS'!$H:$H,MATCH(F120,'Pricing (Drugs) SS'!$A:$A,0))</f>
        <v>Not on List</v>
      </c>
      <c r="S120" s="195" t="str">
        <f>IF(COUNTIFS('Version and Lists'!$F:$F,F120,'Version and Lists'!$G:$G,$M$22)&gt;0,"X","")</f>
        <v/>
      </c>
    </row>
    <row r="121" spans="1:19" ht="15" hidden="1" customHeight="1" x14ac:dyDescent="0.3">
      <c r="A121" s="185">
        <f>INDEX('Cart Formulary Calculator'!$A$12:$A$433,MATCH(F121,'Cart Formulary Calculator'!$F$12:$F$433,0))</f>
        <v>0</v>
      </c>
      <c r="B121" s="186" t="str">
        <f>INDEX('Pricing (Drugs) SS'!$B:$B,MATCH(F121,'Pricing (Drugs) SS'!$A:$A,0))</f>
        <v>MAGNESIUM SULFATE IN WATER FOR INJECTION (0.325 mEq Mg"/mL) 40mg/mL 2g TOTAL 50mL BAG</v>
      </c>
      <c r="C121" s="187" t="str">
        <f>INDEX('Pricing (Drugs) SS'!$E:$E,MATCH(F121,'Pricing (Drugs) SS'!$A:$A,0))</f>
        <v>40mg/mL</v>
      </c>
      <c r="D121" s="188" t="str">
        <f>INDEX('Pricing (Drugs) SS'!$F:$F,MATCH(F121,'Pricing (Drugs) SS'!$A:$A,0))</f>
        <v>50mL</v>
      </c>
      <c r="E121" s="188" t="str">
        <f>INDEX('Pricing (Drugs) SS'!$D:$D,MATCH(F121,'Pricing (Drugs) SS'!$A:$A,0))</f>
        <v>0409-6729-24</v>
      </c>
      <c r="F121" s="189">
        <v>1010230</v>
      </c>
      <c r="G121" s="241">
        <f>INDEX('Pricing (Drugs) SS'!$I:$I,MATCH(F121,'Pricing (Drugs) SS'!$A:$A,0))</f>
        <v>14.36125</v>
      </c>
      <c r="H121" s="241">
        <f t="shared" si="12"/>
        <v>0</v>
      </c>
      <c r="I121" s="190">
        <f>VLOOKUP(F121,'Price Sheet'!$A:$C,3,FALSE)</f>
        <v>38.5</v>
      </c>
      <c r="J121" s="191"/>
      <c r="K121" s="192">
        <f t="shared" si="8"/>
        <v>38.5</v>
      </c>
      <c r="L121" s="192">
        <f t="shared" si="9"/>
        <v>0</v>
      </c>
      <c r="M121" s="193" t="str">
        <f t="shared" si="11"/>
        <v/>
      </c>
      <c r="N121" s="194" t="str">
        <f t="shared" si="10"/>
        <v/>
      </c>
      <c r="O121" s="124" t="str">
        <f t="shared" si="13"/>
        <v/>
      </c>
      <c r="P121" s="124" t="str">
        <f>INDEX('Pricing (Drugs) SS'!$C:$C,MATCH(F121,'Pricing (Drugs) SS'!$A:$A,0))</f>
        <v>ACTIVE</v>
      </c>
      <c r="Q121" s="124" t="str">
        <f>IF(AND($L$23="Extra DEA Req",S121="X"),"SAFE- CONTROLLED",INDEX('Pricing (Drugs) SS'!$G:$G,MATCH(F121,'Pricing (Drugs) SS'!$A:$A,0)))</f>
        <v>DRUG ROOM</v>
      </c>
      <c r="R121" s="195" t="str">
        <f>INDEX('Pricing (Drugs) SS'!$H:$H,MATCH(F121,'Pricing (Drugs) SS'!$A:$A,0))</f>
        <v>Not on List</v>
      </c>
      <c r="S121" s="195" t="str">
        <f>IF(COUNTIFS('Version and Lists'!$F:$F,F121,'Version and Lists'!$G:$G,$M$22)&gt;0,"X","")</f>
        <v/>
      </c>
    </row>
    <row r="122" spans="1:19" ht="15" hidden="1" customHeight="1" x14ac:dyDescent="0.3">
      <c r="A122" s="185">
        <f>INDEX('Cart Formulary Calculator'!$A$12:$A$433,MATCH(F122,'Cart Formulary Calculator'!$F$12:$F$433,0))</f>
        <v>0</v>
      </c>
      <c r="B122" s="186" t="str">
        <f>INDEX('Pricing (Drugs) SS'!$B:$B,MATCH(F122,'Pricing (Drugs) SS'!$A:$A,0))</f>
        <v>50% MAGNESIUM SULFATE INJECTION, USP 5grams/10mL ANSYR SYR</v>
      </c>
      <c r="C122" s="187" t="str">
        <f>INDEX('Pricing (Drugs) SS'!$E:$E,MATCH(F122,'Pricing (Drugs) SS'!$A:$A,0))</f>
        <v>5grams/10mL</v>
      </c>
      <c r="D122" s="188" t="str">
        <f>INDEX('Pricing (Drugs) SS'!$F:$F,MATCH(F122,'Pricing (Drugs) SS'!$A:$A,0))</f>
        <v>10mL</v>
      </c>
      <c r="E122" s="188" t="str">
        <f>INDEX('Pricing (Drugs) SS'!$D:$D,MATCH(F122,'Pricing (Drugs) SS'!$A:$A,0))</f>
        <v>0409-1754-10</v>
      </c>
      <c r="F122" s="189">
        <v>1000390</v>
      </c>
      <c r="G122" s="241">
        <f>INDEX('Pricing (Drugs) SS'!$I:$I,MATCH(F122,'Pricing (Drugs) SS'!$A:$A,0))</f>
        <v>40.377000000000002</v>
      </c>
      <c r="H122" s="241">
        <f t="shared" si="12"/>
        <v>0</v>
      </c>
      <c r="I122" s="190">
        <f>VLOOKUP(F122,'Price Sheet'!$A:$C,3,FALSE)</f>
        <v>101.94</v>
      </c>
      <c r="J122" s="191"/>
      <c r="K122" s="192">
        <f t="shared" si="8"/>
        <v>101.94</v>
      </c>
      <c r="L122" s="192">
        <f t="shared" si="9"/>
        <v>0</v>
      </c>
      <c r="M122" s="193" t="str">
        <f t="shared" si="11"/>
        <v/>
      </c>
      <c r="N122" s="194" t="str">
        <f t="shared" si="10"/>
        <v/>
      </c>
      <c r="O122" s="124" t="str">
        <f t="shared" si="13"/>
        <v/>
      </c>
      <c r="P122" s="124" t="str">
        <f>INDEX('Pricing (Drugs) SS'!$C:$C,MATCH(F122,'Pricing (Drugs) SS'!$A:$A,0))</f>
        <v>ACTIVE</v>
      </c>
      <c r="Q122" s="124" t="str">
        <f>IF(AND($L$23="Extra DEA Req",S122="X"),"SAFE- CONTROLLED",INDEX('Pricing (Drugs) SS'!$G:$G,MATCH(F122,'Pricing (Drugs) SS'!$A:$A,0)))</f>
        <v>DRUG ROOM</v>
      </c>
      <c r="R122" s="195" t="str">
        <f>INDEX('Pricing (Drugs) SS'!$H:$H,MATCH(F122,'Pricing (Drugs) SS'!$A:$A,0))</f>
        <v>Not on List</v>
      </c>
      <c r="S122" s="195" t="str">
        <f>IF(COUNTIFS('Version and Lists'!$F:$F,F122,'Version and Lists'!$G:$G,$M$22)&gt;0,"X","")</f>
        <v/>
      </c>
    </row>
    <row r="123" spans="1:19" ht="15" hidden="1" customHeight="1" x14ac:dyDescent="0.3">
      <c r="A123" s="185">
        <f>INDEX('Cart Formulary Calculator'!$A$12:$A$433,MATCH(F123,'Cart Formulary Calculator'!$F$12:$F$433,0))</f>
        <v>0</v>
      </c>
      <c r="B123" s="186" t="str">
        <f>INDEX('Pricing (Drugs) SS'!$B:$B,MATCH(F123,'Pricing (Drugs) SS'!$A:$A,0))</f>
        <v>25% MANNITOL INJECTION, USP 12.5g/50mL (250mg/mL) 50mL VIAL</v>
      </c>
      <c r="C123" s="187" t="str">
        <f>INDEX('Pricing (Drugs) SS'!$E:$E,MATCH(F123,'Pricing (Drugs) SS'!$A:$A,0))</f>
        <v>250mg/mL</v>
      </c>
      <c r="D123" s="188" t="str">
        <f>INDEX('Pricing (Drugs) SS'!$F:$F,MATCH(F123,'Pricing (Drugs) SS'!$A:$A,0))</f>
        <v>50mL</v>
      </c>
      <c r="E123" s="188" t="str">
        <f>INDEX('Pricing (Drugs) SS'!$D:$D,MATCH(F123,'Pricing (Drugs) SS'!$A:$A,0))</f>
        <v>0409-4031-01</v>
      </c>
      <c r="F123" s="189">
        <v>1012880</v>
      </c>
      <c r="G123" s="241">
        <f>INDEX('Pricing (Drugs) SS'!$I:$I,MATCH(F123,'Pricing (Drugs) SS'!$A:$A,0))</f>
        <v>4.6912000000000003</v>
      </c>
      <c r="H123" s="241">
        <f t="shared" si="12"/>
        <v>0</v>
      </c>
      <c r="I123" s="190">
        <f>VLOOKUP(F123,'Price Sheet'!$A:$C,3,FALSE)</f>
        <v>9.99</v>
      </c>
      <c r="J123" s="191"/>
      <c r="K123" s="192">
        <f t="shared" si="8"/>
        <v>9.99</v>
      </c>
      <c r="L123" s="192">
        <f t="shared" si="9"/>
        <v>0</v>
      </c>
      <c r="M123" s="193" t="str">
        <f t="shared" si="11"/>
        <v/>
      </c>
      <c r="N123" s="194" t="str">
        <f t="shared" si="10"/>
        <v/>
      </c>
      <c r="O123" s="124" t="str">
        <f t="shared" si="13"/>
        <v/>
      </c>
      <c r="P123" s="124" t="str">
        <f>INDEX('Pricing (Drugs) SS'!$C:$C,MATCH(F123,'Pricing (Drugs) SS'!$A:$A,0))</f>
        <v>ACTIVE</v>
      </c>
      <c r="Q123" s="124" t="str">
        <f>IF(AND($L$23="Extra DEA Req",S123="X"),"SAFE- CONTROLLED",INDEX('Pricing (Drugs) SS'!$G:$G,MATCH(F123,'Pricing (Drugs) SS'!$A:$A,0)))</f>
        <v>DRUG ROOM</v>
      </c>
      <c r="R123" s="195" t="str">
        <f>INDEX('Pricing (Drugs) SS'!$H:$H,MATCH(F123,'Pricing (Drugs) SS'!$A:$A,0))</f>
        <v>Not on List</v>
      </c>
      <c r="S123" s="195" t="str">
        <f>IF(COUNTIFS('Version and Lists'!$F:$F,F123,'Version and Lists'!$G:$G,$M$22)&gt;0,"X","")</f>
        <v/>
      </c>
    </row>
    <row r="124" spans="1:19" ht="15" hidden="1" customHeight="1" x14ac:dyDescent="0.3">
      <c r="A124" s="185">
        <f>INDEX('Cart Formulary Calculator'!$A$12:$A$433,MATCH(F124,'Cart Formulary Calculator'!$F$12:$F$433,0))</f>
        <v>0</v>
      </c>
      <c r="B124" s="186" t="str">
        <f>INDEX('Pricing (Drugs) SS'!$B:$B,MATCH(F124,'Pricing (Drugs) SS'!$A:$A,0))</f>
        <v>SOLU-MEDROL® 40MG PER VIAL 1mL ACT-O-VIAL®</v>
      </c>
      <c r="C124" s="187" t="str">
        <f>INDEX('Pricing (Drugs) SS'!$E:$E,MATCH(F124,'Pricing (Drugs) SS'!$A:$A,0))</f>
        <v>40mg</v>
      </c>
      <c r="D124" s="188" t="str">
        <f>INDEX('Pricing (Drugs) SS'!$F:$F,MATCH(F124,'Pricing (Drugs) SS'!$A:$A,0))</f>
        <v>1mL</v>
      </c>
      <c r="E124" s="188" t="str">
        <f>INDEX('Pricing (Drugs) SS'!$D:$D,MATCH(F124,'Pricing (Drugs) SS'!$A:$A,0))</f>
        <v>0009-0039-28</v>
      </c>
      <c r="F124" s="189">
        <v>1000670</v>
      </c>
      <c r="G124" s="241">
        <f>INDEX('Pricing (Drugs) SS'!$I:$I,MATCH(F124,'Pricing (Drugs) SS'!$A:$A,0))</f>
        <v>5.2595999999999998</v>
      </c>
      <c r="H124" s="241">
        <f t="shared" si="12"/>
        <v>0</v>
      </c>
      <c r="I124" s="190">
        <f>VLOOKUP(F124,'Price Sheet'!$A:$C,3,FALSE)</f>
        <v>24.06</v>
      </c>
      <c r="J124" s="191"/>
      <c r="K124" s="192">
        <f t="shared" ref="K124:K155" si="14">J124+I124</f>
        <v>24.06</v>
      </c>
      <c r="L124" s="192">
        <f t="shared" ref="L124:L155" si="15">IFERROR(K124*A124,"")</f>
        <v>0</v>
      </c>
      <c r="M124" s="193" t="str">
        <f t="shared" si="11"/>
        <v/>
      </c>
      <c r="N124" s="194" t="str">
        <f t="shared" si="10"/>
        <v/>
      </c>
      <c r="O124" s="124" t="str">
        <f t="shared" si="13"/>
        <v/>
      </c>
      <c r="P124" s="124" t="str">
        <f>INDEX('Pricing (Drugs) SS'!$C:$C,MATCH(F124,'Pricing (Drugs) SS'!$A:$A,0))</f>
        <v>ACTIVE</v>
      </c>
      <c r="Q124" s="124" t="str">
        <f>IF(AND($L$23="Extra DEA Req",S124="X"),"SAFE- CONTROLLED",INDEX('Pricing (Drugs) SS'!$G:$G,MATCH(F124,'Pricing (Drugs) SS'!$A:$A,0)))</f>
        <v>DRUG ROOM</v>
      </c>
      <c r="R124" s="195" t="str">
        <f>INDEX('Pricing (Drugs) SS'!$H:$H,MATCH(F124,'Pricing (Drugs) SS'!$A:$A,0))</f>
        <v>Not on List</v>
      </c>
      <c r="S124" s="195" t="str">
        <f>IF(COUNTIFS('Version and Lists'!$F:$F,F124,'Version and Lists'!$G:$G,$M$22)&gt;0,"X","")</f>
        <v/>
      </c>
    </row>
    <row r="125" spans="1:19" ht="15" hidden="1" customHeight="1" x14ac:dyDescent="0.3">
      <c r="A125" s="185">
        <f>INDEX('Cart Formulary Calculator'!$A$12:$A$433,MATCH(F125,'Cart Formulary Calculator'!$F$12:$F$433,0))</f>
        <v>0</v>
      </c>
      <c r="B125" s="186" t="str">
        <f>INDEX('Pricing (Drugs) SS'!$B:$B,MATCH(F125,'Pricing (Drugs) SS'!$A:$A,0))</f>
        <v>SOLU-MEDROL® 125MG PER VIAL 2mL ACT-O-VIAL®</v>
      </c>
      <c r="C125" s="187" t="str">
        <f>INDEX('Pricing (Drugs) SS'!$E:$E,MATCH(F125,'Pricing (Drugs) SS'!$A:$A,0))</f>
        <v>125mg</v>
      </c>
      <c r="D125" s="188" t="str">
        <f>INDEX('Pricing (Drugs) SS'!$F:$F,MATCH(F125,'Pricing (Drugs) SS'!$A:$A,0))</f>
        <v>2mL</v>
      </c>
      <c r="E125" s="188" t="str">
        <f>INDEX('Pricing (Drugs) SS'!$D:$D,MATCH(F125,'Pricing (Drugs) SS'!$A:$A,0))</f>
        <v>0009-0047-22</v>
      </c>
      <c r="F125" s="189">
        <v>1000660</v>
      </c>
      <c r="G125" s="241">
        <f>INDEX('Pricing (Drugs) SS'!$I:$I,MATCH(F125,'Pricing (Drugs) SS'!$A:$A,0))</f>
        <v>8.3699999999999992</v>
      </c>
      <c r="H125" s="241">
        <f t="shared" si="12"/>
        <v>0</v>
      </c>
      <c r="I125" s="190">
        <f>VLOOKUP(F125,'Price Sheet'!$A:$C,3,FALSE)</f>
        <v>31.99</v>
      </c>
      <c r="J125" s="191"/>
      <c r="K125" s="192">
        <f t="shared" si="14"/>
        <v>31.99</v>
      </c>
      <c r="L125" s="192">
        <f t="shared" si="15"/>
        <v>0</v>
      </c>
      <c r="M125" s="193" t="str">
        <f t="shared" si="11"/>
        <v/>
      </c>
      <c r="N125" s="194" t="str">
        <f t="shared" si="10"/>
        <v/>
      </c>
      <c r="O125" s="124" t="str">
        <f t="shared" si="13"/>
        <v/>
      </c>
      <c r="P125" s="124" t="str">
        <f>INDEX('Pricing (Drugs) SS'!$C:$C,MATCH(F125,'Pricing (Drugs) SS'!$A:$A,0))</f>
        <v>ACTIVE</v>
      </c>
      <c r="Q125" s="124" t="str">
        <f>IF(AND($L$23="Extra DEA Req",S125="X"),"SAFE- CONTROLLED",INDEX('Pricing (Drugs) SS'!$G:$G,MATCH(F125,'Pricing (Drugs) SS'!$A:$A,0)))</f>
        <v>DRUG ROOM</v>
      </c>
      <c r="R125" s="195" t="str">
        <f>INDEX('Pricing (Drugs) SS'!$H:$H,MATCH(F125,'Pricing (Drugs) SS'!$A:$A,0))</f>
        <v>Not on List</v>
      </c>
      <c r="S125" s="195" t="str">
        <f>IF(COUNTIFS('Version and Lists'!$F:$F,F125,'Version and Lists'!$G:$G,$M$22)&gt;0,"X","")</f>
        <v/>
      </c>
    </row>
    <row r="126" spans="1:19" ht="18.75" x14ac:dyDescent="0.3">
      <c r="A126" s="185">
        <f>INDEX('Cart Formulary Calculator'!$A$12:$A$433,MATCH(F126,'Cart Formulary Calculator'!$F$12:$F$433,0))</f>
        <v>0</v>
      </c>
      <c r="B126" s="186" t="str">
        <f>INDEX('Pricing (Drugs) SS'!$B:$B,MATCH(F126,'Pricing (Drugs) SS'!$A:$A,0))</f>
        <v>METOCLOPRAMIDE INJECTION, USP 10mg/2mL (5mg/mL) 2mL VIAL</v>
      </c>
      <c r="C126" s="187" t="str">
        <f>INDEX('Pricing (Drugs) SS'!$E:$E,MATCH(F126,'Pricing (Drugs) SS'!$A:$A,0))</f>
        <v>5mg/mL</v>
      </c>
      <c r="D126" s="188" t="str">
        <f>INDEX('Pricing (Drugs) SS'!$F:$F,MATCH(F126,'Pricing (Drugs) SS'!$A:$A,0))</f>
        <v>2mL</v>
      </c>
      <c r="E126" s="188" t="str">
        <f>INDEX('Pricing (Drugs) SS'!$D:$D,MATCH(F126,'Pricing (Drugs) SS'!$A:$A,0))</f>
        <v>0409-3414-11</v>
      </c>
      <c r="F126" s="189">
        <v>1024070</v>
      </c>
      <c r="G126" s="241">
        <f>INDEX('Pricing (Drugs) SS'!$I:$I,MATCH(F126,'Pricing (Drugs) SS'!$A:$A,0))</f>
        <v>1.1624000000000001</v>
      </c>
      <c r="H126" s="241">
        <f t="shared" si="12"/>
        <v>0</v>
      </c>
      <c r="I126" s="190">
        <f>VLOOKUP(F126,'Price Sheet'!$A:$C,3,FALSE)</f>
        <v>5.99</v>
      </c>
      <c r="J126" s="191"/>
      <c r="K126" s="192">
        <f t="shared" si="14"/>
        <v>5.99</v>
      </c>
      <c r="L126" s="192">
        <f t="shared" si="15"/>
        <v>0</v>
      </c>
      <c r="M126" s="193" t="str">
        <f t="shared" si="11"/>
        <v/>
      </c>
      <c r="N126" s="194" t="str">
        <f t="shared" si="10"/>
        <v/>
      </c>
      <c r="O126" s="124" t="str">
        <f t="shared" si="13"/>
        <v/>
      </c>
      <c r="P126" s="124" t="str">
        <f>INDEX('Pricing (Drugs) SS'!$C:$C,MATCH(F126,'Pricing (Drugs) SS'!$A:$A,0))</f>
        <v>ACTIVE</v>
      </c>
      <c r="Q126" s="124" t="str">
        <f>IF(AND($L$23="Extra DEA Req",S126="X"),"SAFE- CONTROLLED",INDEX('Pricing (Drugs) SS'!$G:$G,MATCH(F126,'Pricing (Drugs) SS'!$A:$A,0)))</f>
        <v>DRUG ROOM</v>
      </c>
      <c r="R126" s="195" t="str">
        <f>INDEX('Pricing (Drugs) SS'!$H:$H,MATCH(F126,'Pricing (Drugs) SS'!$A:$A,0))</f>
        <v>Not on List</v>
      </c>
      <c r="S126" s="195" t="str">
        <f>IF(COUNTIFS('Version and Lists'!$F:$F,F126,'Version and Lists'!$G:$G,$M$22)&gt;0,"X","")</f>
        <v/>
      </c>
    </row>
    <row r="127" spans="1:19" ht="18.75" x14ac:dyDescent="0.3">
      <c r="A127" s="185">
        <f>INDEX('Cart Formulary Calculator'!$A$12:$A$433,MATCH(F127,'Cart Formulary Calculator'!$F$12:$F$433,0))</f>
        <v>0</v>
      </c>
      <c r="B127" s="186" t="str">
        <f>INDEX('Pricing (Drugs) SS'!$B:$B,MATCH(F127,'Pricing (Drugs) SS'!$A:$A,0))</f>
        <v>NALBUPHINE HCI INJ. 10mg/mL 10mL VIAL</v>
      </c>
      <c r="C127" s="187" t="str">
        <f>INDEX('Pricing (Drugs) SS'!$E:$E,MATCH(F127,'Pricing (Drugs) SS'!$A:$A,0))</f>
        <v>10mg/mL</v>
      </c>
      <c r="D127" s="188" t="str">
        <f>INDEX('Pricing (Drugs) SS'!$F:$F,MATCH(F127,'Pricing (Drugs) SS'!$A:$A,0))</f>
        <v>10mL</v>
      </c>
      <c r="E127" s="188" t="str">
        <f>INDEX('Pricing (Drugs) SS'!$D:$D,MATCH(F127,'Pricing (Drugs) SS'!$A:$A,0))</f>
        <v>0409-1464-01</v>
      </c>
      <c r="F127" s="189">
        <v>1011850</v>
      </c>
      <c r="G127" s="241">
        <f>INDEX('Pricing (Drugs) SS'!$I:$I,MATCH(F127,'Pricing (Drugs) SS'!$A:$A,0))</f>
        <v>53.816800000000001</v>
      </c>
      <c r="H127" s="241">
        <f t="shared" si="12"/>
        <v>0</v>
      </c>
      <c r="I127" s="190">
        <f>VLOOKUP(F127,'Price Sheet'!$A:$C,3,FALSE)</f>
        <v>107.99</v>
      </c>
      <c r="J127" s="191"/>
      <c r="K127" s="192">
        <f t="shared" si="14"/>
        <v>107.99</v>
      </c>
      <c r="L127" s="192">
        <f t="shared" si="15"/>
        <v>0</v>
      </c>
      <c r="M127" s="193" t="str">
        <f t="shared" si="11"/>
        <v/>
      </c>
      <c r="N127" s="194" t="str">
        <f t="shared" si="10"/>
        <v/>
      </c>
      <c r="O127" s="124" t="str">
        <f t="shared" si="13"/>
        <v/>
      </c>
      <c r="P127" s="124" t="str">
        <f>INDEX('Pricing (Drugs) SS'!$C:$C,MATCH(F127,'Pricing (Drugs) SS'!$A:$A,0))</f>
        <v>ACTIVE</v>
      </c>
      <c r="Q127" s="124" t="str">
        <f>IF(AND($L$23="Extra DEA Req",S127="X"),"SAFE- CONTROLLED",INDEX('Pricing (Drugs) SS'!$G:$G,MATCH(F127,'Pricing (Drugs) SS'!$A:$A,0)))</f>
        <v>DRUG ROOM</v>
      </c>
      <c r="R127" s="195" t="str">
        <f>INDEX('Pricing (Drugs) SS'!$H:$H,MATCH(F127,'Pricing (Drugs) SS'!$A:$A,0))</f>
        <v>Not on List</v>
      </c>
      <c r="S127" s="195" t="str">
        <f>IF(COUNTIFS('Version and Lists'!$F:$F,F127,'Version and Lists'!$G:$G,$M$22)&gt;0,"X","")</f>
        <v/>
      </c>
    </row>
    <row r="128" spans="1:19" ht="18.75" x14ac:dyDescent="0.3">
      <c r="A128" s="185">
        <f>INDEX('Cart Formulary Calculator'!$A$12:$A$433,MATCH(F128,'Cart Formulary Calculator'!$F$12:$F$433,0))</f>
        <v>0</v>
      </c>
      <c r="B128" s="186" t="str">
        <f>INDEX('Pricing (Drugs) SS'!$B:$B,MATCH(F128,'Pricing (Drugs) SS'!$A:$A,0))</f>
        <v>NALOXONE HCl INJECTION, USP 0.4mg/mL 1mL VIAL</v>
      </c>
      <c r="C128" s="187" t="str">
        <f>INDEX('Pricing (Drugs) SS'!$E:$E,MATCH(F128,'Pricing (Drugs) SS'!$A:$A,0))</f>
        <v>0.4mg/mL</v>
      </c>
      <c r="D128" s="188" t="str">
        <f>INDEX('Pricing (Drugs) SS'!$F:$F,MATCH(F128,'Pricing (Drugs) SS'!$A:$A,0))</f>
        <v>1mL</v>
      </c>
      <c r="E128" s="188" t="str">
        <f>INDEX('Pricing (Drugs) SS'!$D:$D,MATCH(F128,'Pricing (Drugs) SS'!$A:$A,0))</f>
        <v>0641-6132-25</v>
      </c>
      <c r="F128" s="189">
        <v>1024160</v>
      </c>
      <c r="G128" s="241">
        <f>INDEX('Pricing (Drugs) SS'!$I:$I,MATCH(F128,'Pricing (Drugs) SS'!$A:$A,0))</f>
        <v>5.4</v>
      </c>
      <c r="H128" s="241">
        <f t="shared" si="12"/>
        <v>0</v>
      </c>
      <c r="I128" s="190">
        <f>VLOOKUP(F128,'Price Sheet'!$A:$C,3,FALSE)</f>
        <v>46.99</v>
      </c>
      <c r="J128" s="191"/>
      <c r="K128" s="192">
        <f t="shared" si="14"/>
        <v>46.99</v>
      </c>
      <c r="L128" s="192">
        <f t="shared" si="15"/>
        <v>0</v>
      </c>
      <c r="M128" s="193" t="str">
        <f t="shared" si="11"/>
        <v/>
      </c>
      <c r="N128" s="194" t="str">
        <f t="shared" si="10"/>
        <v/>
      </c>
      <c r="O128" s="124" t="str">
        <f t="shared" si="13"/>
        <v/>
      </c>
      <c r="P128" s="124" t="str">
        <f>INDEX('Pricing (Drugs) SS'!$C:$C,MATCH(F128,'Pricing (Drugs) SS'!$A:$A,0))</f>
        <v>ACTIVE</v>
      </c>
      <c r="Q128" s="124" t="str">
        <f>IF(AND($L$23="Extra DEA Req",S128="X"),"SAFE- CONTROLLED",INDEX('Pricing (Drugs) SS'!$G:$G,MATCH(F128,'Pricing (Drugs) SS'!$A:$A,0)))</f>
        <v>DRUG ROOM</v>
      </c>
      <c r="R128" s="195" t="str">
        <f>INDEX('Pricing (Drugs) SS'!$H:$H,MATCH(F128,'Pricing (Drugs) SS'!$A:$A,0))</f>
        <v>Not on List</v>
      </c>
      <c r="S128" s="195" t="str">
        <f>IF(COUNTIFS('Version and Lists'!$F:$F,F128,'Version and Lists'!$G:$G,$M$22)&gt;0,"X","")</f>
        <v/>
      </c>
    </row>
    <row r="129" spans="1:19" ht="18.75" x14ac:dyDescent="0.3">
      <c r="A129" s="185">
        <f>INDEX('Cart Formulary Calculator'!$A$12:$A$433,MATCH(F129,'Cart Formulary Calculator'!$F$12:$F$433,0))</f>
        <v>0</v>
      </c>
      <c r="B129" s="186" t="str">
        <f>INDEX('Pricing (Drugs) SS'!$B:$B,MATCH(F129,'Pricing (Drugs) SS'!$A:$A,0))</f>
        <v>NALOXONE HYDROCHLORIDE INJECTION, USP 0.4mg/mL 10mL VIAL</v>
      </c>
      <c r="C129" s="187" t="str">
        <f>INDEX('Pricing (Drugs) SS'!$E:$E,MATCH(F129,'Pricing (Drugs) SS'!$A:$A,0))</f>
        <v>0.4mg/mL</v>
      </c>
      <c r="D129" s="188" t="str">
        <f>INDEX('Pricing (Drugs) SS'!$F:$F,MATCH(F129,'Pricing (Drugs) SS'!$A:$A,0))</f>
        <v>10mL</v>
      </c>
      <c r="E129" s="188" t="str">
        <f>INDEX('Pricing (Drugs) SS'!$D:$D,MATCH(F129,'Pricing (Drugs) SS'!$A:$A,0))</f>
        <v>0409-1219-01</v>
      </c>
      <c r="F129" s="189">
        <v>1011800</v>
      </c>
      <c r="G129" s="241">
        <f>INDEX('Pricing (Drugs) SS'!$I:$I,MATCH(F129,'Pricing (Drugs) SS'!$A:$A,0))</f>
        <v>116.184</v>
      </c>
      <c r="H129" s="241">
        <f t="shared" si="12"/>
        <v>0</v>
      </c>
      <c r="I129" s="190">
        <f>VLOOKUP(F129,'Price Sheet'!$A:$C,3,FALSE)</f>
        <v>335.99</v>
      </c>
      <c r="J129" s="191"/>
      <c r="K129" s="192">
        <f t="shared" si="14"/>
        <v>335.99</v>
      </c>
      <c r="L129" s="192">
        <f t="shared" si="15"/>
        <v>0</v>
      </c>
      <c r="M129" s="193" t="str">
        <f t="shared" si="11"/>
        <v/>
      </c>
      <c r="N129" s="194" t="str">
        <f t="shared" si="10"/>
        <v/>
      </c>
      <c r="O129" s="124" t="str">
        <f t="shared" si="13"/>
        <v/>
      </c>
      <c r="P129" s="124" t="str">
        <f>INDEX('Pricing (Drugs) SS'!$C:$C,MATCH(F129,'Pricing (Drugs) SS'!$A:$A,0))</f>
        <v>ACTIVE</v>
      </c>
      <c r="Q129" s="124" t="str">
        <f>IF(AND($L$23="Extra DEA Req",S129="X"),"SAFE- CONTROLLED",INDEX('Pricing (Drugs) SS'!$G:$G,MATCH(F129,'Pricing (Drugs) SS'!$A:$A,0)))</f>
        <v>DRUG ROOM</v>
      </c>
      <c r="R129" s="195" t="str">
        <f>INDEX('Pricing (Drugs) SS'!$H:$H,MATCH(F129,'Pricing (Drugs) SS'!$A:$A,0))</f>
        <v>Not on List</v>
      </c>
      <c r="S129" s="195" t="str">
        <f>IF(COUNTIFS('Version and Lists'!$F:$F,F129,'Version and Lists'!$G:$G,$M$22)&gt;0,"X","")</f>
        <v/>
      </c>
    </row>
    <row r="130" spans="1:19" ht="18.75" x14ac:dyDescent="0.3">
      <c r="A130" s="185">
        <f>INDEX('Cart Formulary Calculator'!$A$12:$A$433,MATCH(F130,'Cart Formulary Calculator'!$F$12:$F$433,0))</f>
        <v>0</v>
      </c>
      <c r="B130" s="186" t="str">
        <f>INDEX('Pricing (Drugs) SS'!$B:$B,MATCH(F130,'Pricing (Drugs) SS'!$A:$A,0))</f>
        <v>NALOXONE HCI INJECTION, USP 4mg PER 10mL (0.4mg/mL) 10mL VIAL BOXED</v>
      </c>
      <c r="C130" s="187" t="str">
        <f>INDEX('Pricing (Drugs) SS'!$E:$E,MATCH(F130,'Pricing (Drugs) SS'!$A:$A,0))</f>
        <v>0.4mg/mL</v>
      </c>
      <c r="D130" s="188" t="str">
        <f>INDEX('Pricing (Drugs) SS'!$F:$F,MATCH(F130,'Pricing (Drugs) SS'!$A:$A,0))</f>
        <v>10mL</v>
      </c>
      <c r="E130" s="188" t="str">
        <f>INDEX('Pricing (Drugs) SS'!$D:$D,MATCH(F130,'Pricing (Drugs) SS'!$A:$A,0))</f>
        <v>70069-072-10</v>
      </c>
      <c r="F130" s="189">
        <v>1024630</v>
      </c>
      <c r="G130" s="241">
        <f>INDEX('Pricing (Drugs) SS'!$I:$I,MATCH(F130,'Pricing (Drugs) SS'!$A:$A,0))</f>
        <v>28.2</v>
      </c>
      <c r="H130" s="241">
        <f t="shared" si="12"/>
        <v>0</v>
      </c>
      <c r="I130" s="190">
        <f>VLOOKUP(F130,'Price Sheet'!$A:$C,3,FALSE)</f>
        <v>249.99</v>
      </c>
      <c r="J130" s="191"/>
      <c r="K130" s="192">
        <f t="shared" si="14"/>
        <v>249.99</v>
      </c>
      <c r="L130" s="192">
        <f t="shared" si="15"/>
        <v>0</v>
      </c>
      <c r="M130" s="193" t="str">
        <f t="shared" si="11"/>
        <v/>
      </c>
      <c r="N130" s="194" t="str">
        <f t="shared" si="10"/>
        <v/>
      </c>
      <c r="O130" s="124" t="str">
        <f t="shared" si="13"/>
        <v/>
      </c>
      <c r="P130" s="124" t="str">
        <f>INDEX('Pricing (Drugs) SS'!$C:$C,MATCH(F130,'Pricing (Drugs) SS'!$A:$A,0))</f>
        <v>ACTIVE</v>
      </c>
      <c r="Q130" s="124" t="str">
        <f>IF(AND($L$23="Extra DEA Req",S130="X"),"SAFE- CONTROLLED",INDEX('Pricing (Drugs) SS'!$G:$G,MATCH(F130,'Pricing (Drugs) SS'!$A:$A,0)))</f>
        <v>DRUG ROOM</v>
      </c>
      <c r="R130" s="195" t="str">
        <f>INDEX('Pricing (Drugs) SS'!$H:$H,MATCH(F130,'Pricing (Drugs) SS'!$A:$A,0))</f>
        <v>Not on List</v>
      </c>
      <c r="S130" s="195" t="str">
        <f>IF(COUNTIFS('Version and Lists'!$F:$F,F130,'Version and Lists'!$G:$G,$M$22)&gt;0,"X","")</f>
        <v/>
      </c>
    </row>
    <row r="131" spans="1:19" ht="18.75" x14ac:dyDescent="0.3">
      <c r="A131" s="185">
        <f>INDEX('Cart Formulary Calculator'!$A$12:$A$433,MATCH(F131,'Cart Formulary Calculator'!$F$12:$F$433,0))</f>
        <v>0</v>
      </c>
      <c r="B131" s="186" t="str">
        <f>INDEX('Pricing (Drugs) SS'!$B:$B,MATCH(F131,'Pricing (Drugs) SS'!$A:$A,0))</f>
        <v>NALOXONE HYDROCHLORIDE INJECTION, USP 2mg PER 2mL (1mg/mL) 2mL SYR</v>
      </c>
      <c r="C131" s="187" t="str">
        <f>INDEX('Pricing (Drugs) SS'!$E:$E,MATCH(F131,'Pricing (Drugs) SS'!$A:$A,0))</f>
        <v>1mg/mL</v>
      </c>
      <c r="D131" s="188" t="str">
        <f>INDEX('Pricing (Drugs) SS'!$F:$F,MATCH(F131,'Pricing (Drugs) SS'!$A:$A,0))</f>
        <v>2mL</v>
      </c>
      <c r="E131" s="188" t="str">
        <f>INDEX('Pricing (Drugs) SS'!$D:$D,MATCH(F131,'Pricing (Drugs) SS'!$A:$A,0))</f>
        <v>55150-345-10</v>
      </c>
      <c r="F131" s="189">
        <v>1017790</v>
      </c>
      <c r="G131" s="241">
        <f>INDEX('Pricing (Drugs) SS'!$I:$I,MATCH(F131,'Pricing (Drugs) SS'!$A:$A,0))</f>
        <v>10.8</v>
      </c>
      <c r="H131" s="241">
        <f t="shared" si="12"/>
        <v>0</v>
      </c>
      <c r="I131" s="190">
        <f>VLOOKUP(F131,'Price Sheet'!$A:$C,3,FALSE)</f>
        <v>59.99</v>
      </c>
      <c r="J131" s="191"/>
      <c r="K131" s="192">
        <f t="shared" si="14"/>
        <v>59.99</v>
      </c>
      <c r="L131" s="192">
        <f t="shared" si="15"/>
        <v>0</v>
      </c>
      <c r="M131" s="193" t="str">
        <f t="shared" si="11"/>
        <v/>
      </c>
      <c r="N131" s="194" t="str">
        <f t="shared" si="10"/>
        <v/>
      </c>
      <c r="O131" s="124" t="str">
        <f t="shared" si="13"/>
        <v/>
      </c>
      <c r="P131" s="124" t="str">
        <f>INDEX('Pricing (Drugs) SS'!$C:$C,MATCH(F131,'Pricing (Drugs) SS'!$A:$A,0))</f>
        <v>ACTIVE</v>
      </c>
      <c r="Q131" s="124" t="str">
        <f>IF(AND($L$23="Extra DEA Req",S131="X"),"SAFE- CONTROLLED",INDEX('Pricing (Drugs) SS'!$G:$G,MATCH(F131,'Pricing (Drugs) SS'!$A:$A,0)))</f>
        <v>DRUG ROOM</v>
      </c>
      <c r="R131" s="195" t="str">
        <f>INDEX('Pricing (Drugs) SS'!$H:$H,MATCH(F131,'Pricing (Drugs) SS'!$A:$A,0))</f>
        <v>Not on List</v>
      </c>
      <c r="S131" s="195" t="str">
        <f>IF(COUNTIFS('Version and Lists'!$F:$F,F131,'Version and Lists'!$G:$G,$M$22)&gt;0,"X","")</f>
        <v/>
      </c>
    </row>
    <row r="132" spans="1:19" ht="18.75" x14ac:dyDescent="0.3">
      <c r="A132" s="185">
        <f>INDEX('Cart Formulary Calculator'!$A$12:$A$433,MATCH(F132,'Cart Formulary Calculator'!$F$12:$F$433,0))</f>
        <v>0</v>
      </c>
      <c r="B132" s="186" t="str">
        <f>INDEX('Pricing (Drugs) SS'!$B:$B,MATCH(F132,'Pricing (Drugs) SS'!$A:$A,0))</f>
        <v>NARCAN NALOXONE HCI NASAL SPRAY 4mg/.1mL 2-PACK</v>
      </c>
      <c r="C132" s="187" t="str">
        <f>INDEX('Pricing (Drugs) SS'!$E:$E,MATCH(F132,'Pricing (Drugs) SS'!$A:$A,0))</f>
        <v>4mg/.1mL</v>
      </c>
      <c r="D132" s="188" t="str">
        <f>INDEX('Pricing (Drugs) SS'!$F:$F,MATCH(F132,'Pricing (Drugs) SS'!$A:$A,0))</f>
        <v>0.1mL</v>
      </c>
      <c r="E132" s="188" t="str">
        <f>INDEX('Pricing (Drugs) SS'!$D:$D,MATCH(F132,'Pricing (Drugs) SS'!$A:$A,0))</f>
        <v>69547-627-02</v>
      </c>
      <c r="F132" s="189">
        <v>1021770</v>
      </c>
      <c r="G132" s="241">
        <f>INDEX('Pricing (Drugs) SS'!$I:$I,MATCH(F132,'Pricing (Drugs) SS'!$A:$A,0))</f>
        <v>25</v>
      </c>
      <c r="H132" s="241">
        <f t="shared" si="12"/>
        <v>0</v>
      </c>
      <c r="I132" s="190">
        <f>VLOOKUP(F132,'Price Sheet'!$A:$C,3,FALSE)</f>
        <v>79.989999999999995</v>
      </c>
      <c r="J132" s="191"/>
      <c r="K132" s="192">
        <f t="shared" si="14"/>
        <v>79.989999999999995</v>
      </c>
      <c r="L132" s="192">
        <f t="shared" si="15"/>
        <v>0</v>
      </c>
      <c r="M132" s="193" t="str">
        <f t="shared" si="11"/>
        <v/>
      </c>
      <c r="N132" s="194" t="str">
        <f t="shared" si="10"/>
        <v/>
      </c>
      <c r="O132" s="124" t="str">
        <f t="shared" si="13"/>
        <v/>
      </c>
      <c r="P132" s="124" t="str">
        <f>INDEX('Pricing (Drugs) SS'!$C:$C,MATCH(F132,'Pricing (Drugs) SS'!$A:$A,0))</f>
        <v>RESTRICTED</v>
      </c>
      <c r="Q132" s="124" t="str">
        <f>IF(AND($L$23="Extra DEA Req",S132="X"),"SAFE- CONTROLLED",INDEX('Pricing (Drugs) SS'!$G:$G,MATCH(F132,'Pricing (Drugs) SS'!$A:$A,0)))</f>
        <v>DRUG ROOM</v>
      </c>
      <c r="R132" s="195" t="str">
        <f>INDEX('Pricing (Drugs) SS'!$H:$H,MATCH(F132,'Pricing (Drugs) SS'!$A:$A,0))</f>
        <v>Not on List</v>
      </c>
      <c r="S132" s="195" t="str">
        <f>IF(COUNTIFS('Version and Lists'!$F:$F,F132,'Version and Lists'!$G:$G,$M$22)&gt;0,"X","")</f>
        <v/>
      </c>
    </row>
    <row r="133" spans="1:19" ht="18.75" x14ac:dyDescent="0.3">
      <c r="A133" s="185">
        <f>INDEX('Cart Formulary Calculator'!$A$12:$A$433,MATCH(F133,'Cart Formulary Calculator'!$F$12:$F$433,0))</f>
        <v>0</v>
      </c>
      <c r="B133" s="186" t="str">
        <f>INDEX('Pricing (Drugs) SS'!$B:$B,MATCH(F133,'Pricing (Drugs) SS'!$A:$A,0))</f>
        <v>NICARDIPINE HYDROCHLORIDE INJECTION 25mg/10mL (2.5 mg/mL) 10mL VIAL</v>
      </c>
      <c r="C133" s="187" t="str">
        <f>INDEX('Pricing (Drugs) SS'!$E:$E,MATCH(F133,'Pricing (Drugs) SS'!$A:$A,0))</f>
        <v>2.5mg/mL</v>
      </c>
      <c r="D133" s="188" t="str">
        <f>INDEX('Pricing (Drugs) SS'!$F:$F,MATCH(F133,'Pricing (Drugs) SS'!$A:$A,0))</f>
        <v>10mL</v>
      </c>
      <c r="E133" s="188" t="str">
        <f>INDEX('Pricing (Drugs) SS'!$D:$D,MATCH(F133,'Pricing (Drugs) SS'!$A:$A,0))</f>
        <v>0143-9689-10</v>
      </c>
      <c r="F133" s="189">
        <v>1013020</v>
      </c>
      <c r="G133" s="241">
        <f>INDEX('Pricing (Drugs) SS'!$I:$I,MATCH(F133,'Pricing (Drugs) SS'!$A:$A,0))</f>
        <v>13.5</v>
      </c>
      <c r="H133" s="241">
        <f t="shared" si="12"/>
        <v>0</v>
      </c>
      <c r="I133" s="190">
        <f>VLOOKUP(F133,'Price Sheet'!$A:$C,3,FALSE)</f>
        <v>63.99</v>
      </c>
      <c r="J133" s="191"/>
      <c r="K133" s="192">
        <f t="shared" si="14"/>
        <v>63.99</v>
      </c>
      <c r="L133" s="192">
        <f t="shared" si="15"/>
        <v>0</v>
      </c>
      <c r="M133" s="193" t="str">
        <f t="shared" si="11"/>
        <v/>
      </c>
      <c r="N133" s="194" t="str">
        <f t="shared" si="10"/>
        <v/>
      </c>
      <c r="O133" s="124" t="str">
        <f t="shared" si="13"/>
        <v/>
      </c>
      <c r="P133" s="124" t="str">
        <f>INDEX('Pricing (Drugs) SS'!$C:$C,MATCH(F133,'Pricing (Drugs) SS'!$A:$A,0))</f>
        <v>ACTIVE</v>
      </c>
      <c r="Q133" s="124" t="str">
        <f>IF(AND($L$23="Extra DEA Req",S133="X"),"SAFE- CONTROLLED",INDEX('Pricing (Drugs) SS'!$G:$G,MATCH(F133,'Pricing (Drugs) SS'!$A:$A,0)))</f>
        <v>DRUG ROOM</v>
      </c>
      <c r="R133" s="195" t="str">
        <f>INDEX('Pricing (Drugs) SS'!$H:$H,MATCH(F133,'Pricing (Drugs) SS'!$A:$A,0))</f>
        <v>Not on List</v>
      </c>
      <c r="S133" s="195" t="str">
        <f>IF(COUNTIFS('Version and Lists'!$F:$F,F133,'Version and Lists'!$G:$G,$M$22)&gt;0,"X","")</f>
        <v/>
      </c>
    </row>
    <row r="134" spans="1:19" ht="18.75" x14ac:dyDescent="0.3">
      <c r="A134" s="185">
        <f>INDEX('Cart Formulary Calculator'!$A$12:$A$433,MATCH(F134,'Cart Formulary Calculator'!$F$12:$F$433,0))</f>
        <v>0</v>
      </c>
      <c r="B134" s="186" t="str">
        <f>INDEX('Pricing (Drugs) SS'!$B:$B,MATCH(F134,'Pricing (Drugs) SS'!$A:$A,0))</f>
        <v>NITROGLYCERIN INJECTION, USP 50mg/10mL (5mg/mL) 10mL VIAL</v>
      </c>
      <c r="C134" s="187" t="str">
        <f>INDEX('Pricing (Drugs) SS'!$E:$E,MATCH(F134,'Pricing (Drugs) SS'!$A:$A,0))</f>
        <v>5mg/mL</v>
      </c>
      <c r="D134" s="188" t="str">
        <f>INDEX('Pricing (Drugs) SS'!$F:$F,MATCH(F134,'Pricing (Drugs) SS'!$A:$A,0))</f>
        <v>10mL</v>
      </c>
      <c r="E134" s="188" t="str">
        <f>INDEX('Pricing (Drugs) SS'!$D:$D,MATCH(F134,'Pricing (Drugs) SS'!$A:$A,0))</f>
        <v>0517-4810-25</v>
      </c>
      <c r="F134" s="189">
        <v>1012240</v>
      </c>
      <c r="G134" s="241">
        <f>INDEX('Pricing (Drugs) SS'!$I:$I,MATCH(F134,'Pricing (Drugs) SS'!$A:$A,0))</f>
        <v>12.87</v>
      </c>
      <c r="H134" s="241">
        <f t="shared" si="12"/>
        <v>0</v>
      </c>
      <c r="I134" s="190">
        <f>VLOOKUP(F134,'Price Sheet'!$A:$C,3,FALSE)</f>
        <v>42.99</v>
      </c>
      <c r="J134" s="191"/>
      <c r="K134" s="192">
        <f t="shared" si="14"/>
        <v>42.99</v>
      </c>
      <c r="L134" s="192">
        <f t="shared" si="15"/>
        <v>0</v>
      </c>
      <c r="M134" s="193" t="str">
        <f t="shared" si="11"/>
        <v/>
      </c>
      <c r="N134" s="194" t="str">
        <f t="shared" si="10"/>
        <v/>
      </c>
      <c r="O134" s="124" t="str">
        <f t="shared" si="13"/>
        <v/>
      </c>
      <c r="P134" s="124" t="str">
        <f>INDEX('Pricing (Drugs) SS'!$C:$C,MATCH(F134,'Pricing (Drugs) SS'!$A:$A,0))</f>
        <v>ACTIVE</v>
      </c>
      <c r="Q134" s="124" t="str">
        <f>IF(AND($L$23="Extra DEA Req",S134="X"),"SAFE- CONTROLLED",INDEX('Pricing (Drugs) SS'!$G:$G,MATCH(F134,'Pricing (Drugs) SS'!$A:$A,0)))</f>
        <v>DRUG ROOM</v>
      </c>
      <c r="R134" s="195" t="str">
        <f>INDEX('Pricing (Drugs) SS'!$H:$H,MATCH(F134,'Pricing (Drugs) SS'!$A:$A,0))</f>
        <v>Not on List</v>
      </c>
      <c r="S134" s="195" t="str">
        <f>IF(COUNTIFS('Version and Lists'!$F:$F,F134,'Version and Lists'!$G:$G,$M$22)&gt;0,"X","")</f>
        <v/>
      </c>
    </row>
    <row r="135" spans="1:19" ht="18.75" x14ac:dyDescent="0.3">
      <c r="A135" s="185">
        <f>INDEX('Cart Formulary Calculator'!$A$12:$A$433,MATCH(F135,'Cart Formulary Calculator'!$F$12:$F$433,0))</f>
        <v>0</v>
      </c>
      <c r="B135" s="186" t="str">
        <f>INDEX('Pricing (Drugs) SS'!$B:$B,MATCH(F135,'Pricing (Drugs) SS'!$A:$A,0))</f>
        <v>NITROGLYCERIN LINGUAL SPRAY 400 mcg PER SPRAY 60 METERED SPRAYS BOXED</v>
      </c>
      <c r="C135" s="187" t="str">
        <f>INDEX('Pricing (Drugs) SS'!$E:$E,MATCH(F135,'Pricing (Drugs) SS'!$A:$A,0))</f>
        <v>400mcg per spray</v>
      </c>
      <c r="D135" s="188" t="str">
        <f>INDEX('Pricing (Drugs) SS'!$F:$F,MATCH(F135,'Pricing (Drugs) SS'!$A:$A,0))</f>
        <v>4.9g</v>
      </c>
      <c r="E135" s="188" t="str">
        <f>INDEX('Pricing (Drugs) SS'!$D:$D,MATCH(F135,'Pricing (Drugs) SS'!$A:$A,0))</f>
        <v>66993-241-50</v>
      </c>
      <c r="F135" s="189">
        <v>1024170</v>
      </c>
      <c r="G135" s="241">
        <f>INDEX('Pricing (Drugs) SS'!$I:$I,MATCH(F135,'Pricing (Drugs) SS'!$A:$A,0))</f>
        <v>75</v>
      </c>
      <c r="H135" s="241">
        <f t="shared" si="12"/>
        <v>0</v>
      </c>
      <c r="I135" s="190">
        <f>VLOOKUP(F135,'Price Sheet'!$A:$C,3,FALSE)</f>
        <v>249.95</v>
      </c>
      <c r="J135" s="191"/>
      <c r="K135" s="192">
        <f t="shared" si="14"/>
        <v>249.95</v>
      </c>
      <c r="L135" s="192">
        <f t="shared" si="15"/>
        <v>0</v>
      </c>
      <c r="M135" s="193" t="str">
        <f t="shared" si="11"/>
        <v/>
      </c>
      <c r="N135" s="194" t="str">
        <f t="shared" si="10"/>
        <v/>
      </c>
      <c r="O135" s="124" t="str">
        <f t="shared" si="13"/>
        <v/>
      </c>
      <c r="P135" s="124" t="str">
        <f>INDEX('Pricing (Drugs) SS'!$C:$C,MATCH(F135,'Pricing (Drugs) SS'!$A:$A,0))</f>
        <v>ACTIVE</v>
      </c>
      <c r="Q135" s="124" t="str">
        <f>IF(AND($L$23="Extra DEA Req",S135="X"),"SAFE- CONTROLLED",INDEX('Pricing (Drugs) SS'!$G:$G,MATCH(F135,'Pricing (Drugs) SS'!$A:$A,0)))</f>
        <v>DRUG ROOM</v>
      </c>
      <c r="R135" s="195" t="str">
        <f>INDEX('Pricing (Drugs) SS'!$H:$H,MATCH(F135,'Pricing (Drugs) SS'!$A:$A,0))</f>
        <v>Not on List</v>
      </c>
      <c r="S135" s="195" t="str">
        <f>IF(COUNTIFS('Version and Lists'!$F:$F,F135,'Version and Lists'!$G:$G,$M$22)&gt;0,"X","")</f>
        <v/>
      </c>
    </row>
    <row r="136" spans="1:19" ht="18.75" x14ac:dyDescent="0.3">
      <c r="A136" s="185">
        <f>INDEX('Cart Formulary Calculator'!$A$12:$A$433,MATCH(F136,'Cart Formulary Calculator'!$F$12:$F$433,0))</f>
        <v>0</v>
      </c>
      <c r="B136" s="186" t="str">
        <f>INDEX('Pricing (Drugs) SS'!$B:$B,MATCH(F136,'Pricing (Drugs) SS'!$A:$A,0))</f>
        <v>NITROGLYCERIN SUBLINGUAL TABLETS, USP 0.4mg/TABLET 25TABS</v>
      </c>
      <c r="C136" s="187" t="str">
        <f>INDEX('Pricing (Drugs) SS'!$E:$E,MATCH(F136,'Pricing (Drugs) SS'!$A:$A,0))</f>
        <v>0.4mg/tablets</v>
      </c>
      <c r="D136" s="188" t="str">
        <f>INDEX('Pricing (Drugs) SS'!$F:$F,MATCH(F136,'Pricing (Drugs) SS'!$A:$A,0))</f>
        <v>25 tablets</v>
      </c>
      <c r="E136" s="188" t="str">
        <f>INDEX('Pricing (Drugs) SS'!$D:$D,MATCH(F136,'Pricing (Drugs) SS'!$A:$A,0))</f>
        <v>43598-436-11</v>
      </c>
      <c r="F136" s="189">
        <v>1001140</v>
      </c>
      <c r="G136" s="241">
        <f>INDEX('Pricing (Drugs) SS'!$I:$I,MATCH(F136,'Pricing (Drugs) SS'!$A:$A,0))</f>
        <v>8.99</v>
      </c>
      <c r="H136" s="241">
        <f t="shared" si="12"/>
        <v>0</v>
      </c>
      <c r="I136" s="190">
        <f>VLOOKUP(F136,'Price Sheet'!$A:$C,3,FALSE)</f>
        <v>54.99</v>
      </c>
      <c r="J136" s="191"/>
      <c r="K136" s="192">
        <f t="shared" si="14"/>
        <v>54.99</v>
      </c>
      <c r="L136" s="192">
        <f t="shared" si="15"/>
        <v>0</v>
      </c>
      <c r="M136" s="193" t="str">
        <f t="shared" si="11"/>
        <v/>
      </c>
      <c r="N136" s="194" t="str">
        <f t="shared" si="10"/>
        <v/>
      </c>
      <c r="O136" s="124" t="str">
        <f t="shared" si="13"/>
        <v/>
      </c>
      <c r="P136" s="124" t="str">
        <f>INDEX('Pricing (Drugs) SS'!$C:$C,MATCH(F136,'Pricing (Drugs) SS'!$A:$A,0))</f>
        <v>ACTIVE</v>
      </c>
      <c r="Q136" s="124" t="str">
        <f>IF(AND($L$23="Extra DEA Req",S136="X"),"SAFE- CONTROLLED",INDEX('Pricing (Drugs) SS'!$G:$G,MATCH(F136,'Pricing (Drugs) SS'!$A:$A,0)))</f>
        <v>DRUG ROOM</v>
      </c>
      <c r="R136" s="195" t="str">
        <f>INDEX('Pricing (Drugs) SS'!$H:$H,MATCH(F136,'Pricing (Drugs) SS'!$A:$A,0))</f>
        <v>Not on List</v>
      </c>
      <c r="S136" s="195" t="str">
        <f>IF(COUNTIFS('Version and Lists'!$F:$F,F136,'Version and Lists'!$G:$G,$M$22)&gt;0,"X","")</f>
        <v/>
      </c>
    </row>
    <row r="137" spans="1:19" ht="18.75" x14ac:dyDescent="0.3">
      <c r="A137" s="185">
        <f>INDEX('Cart Formulary Calculator'!$A$12:$A$433,MATCH(F137,'Cart Formulary Calculator'!$F$12:$F$433,0))</f>
        <v>0</v>
      </c>
      <c r="B137" s="186" t="str">
        <f>INDEX('Pricing (Drugs) SS'!$B:$B,MATCH(F137,'Pricing (Drugs) SS'!$A:$A,0))</f>
        <v>NITROGLYCERIN SUBLINGUAL TABLETS, USP 0.4mg/TABLET 25TABS</v>
      </c>
      <c r="C137" s="187" t="str">
        <f>INDEX('Pricing (Drugs) SS'!$E:$E,MATCH(F137,'Pricing (Drugs) SS'!$A:$A,0))</f>
        <v>.4 mg/1</v>
      </c>
      <c r="D137" s="188" t="str">
        <f>INDEX('Pricing (Drugs) SS'!$F:$F,MATCH(F137,'Pricing (Drugs) SS'!$A:$A,0))</f>
        <v>25 tablets</v>
      </c>
      <c r="E137" s="188" t="str">
        <f>INDEX('Pricing (Drugs) SS'!$D:$D,MATCH(F137,'Pricing (Drugs) SS'!$A:$A,0))</f>
        <v>72888-139-33</v>
      </c>
      <c r="F137" s="189">
        <v>1024800</v>
      </c>
      <c r="G137" s="241">
        <f>INDEX('Pricing (Drugs) SS'!$I:$I,MATCH(F137,'Pricing (Drugs) SS'!$A:$A,0))</f>
        <v>1.2175</v>
      </c>
      <c r="H137" s="241">
        <f t="shared" si="12"/>
        <v>0</v>
      </c>
      <c r="I137" s="190">
        <f>VLOOKUP(F137,'Price Sheet'!$A:$C,3,FALSE)</f>
        <v>49.98</v>
      </c>
      <c r="J137" s="191"/>
      <c r="K137" s="192">
        <f t="shared" si="14"/>
        <v>49.98</v>
      </c>
      <c r="L137" s="192">
        <f t="shared" si="15"/>
        <v>0</v>
      </c>
      <c r="M137" s="193" t="str">
        <f t="shared" si="11"/>
        <v/>
      </c>
      <c r="N137" s="194" t="str">
        <f t="shared" si="10"/>
        <v/>
      </c>
      <c r="O137" s="124" t="str">
        <f t="shared" si="13"/>
        <v/>
      </c>
      <c r="P137" s="124" t="str">
        <f>INDEX('Pricing (Drugs) SS'!$C:$C,MATCH(F137,'Pricing (Drugs) SS'!$A:$A,0))</f>
        <v>ACTIVE</v>
      </c>
      <c r="Q137" s="124" t="str">
        <f>IF(AND($L$23="Extra DEA Req",S137="X"),"SAFE- CONTROLLED",INDEX('Pricing (Drugs) SS'!$G:$G,MATCH(F137,'Pricing (Drugs) SS'!$A:$A,0)))</f>
        <v>DRUG ROOM</v>
      </c>
      <c r="R137" s="195" t="str">
        <f>INDEX('Pricing (Drugs) SS'!$H:$H,MATCH(F137,'Pricing (Drugs) SS'!$A:$A,0))</f>
        <v>Not on List</v>
      </c>
      <c r="S137" s="195" t="str">
        <f>IF(COUNTIFS('Version and Lists'!$F:$F,F137,'Version and Lists'!$G:$G,$M$22)&gt;0,"X","")</f>
        <v/>
      </c>
    </row>
    <row r="138" spans="1:19" ht="18.75" x14ac:dyDescent="0.3">
      <c r="A138" s="185">
        <f>INDEX('Cart Formulary Calculator'!$A$12:$A$433,MATCH(F138,'Cart Formulary Calculator'!$F$12:$F$433,0))</f>
        <v>0</v>
      </c>
      <c r="B138" s="186" t="str">
        <f>INDEX('Pricing (Drugs) SS'!$B:$B,MATCH(F138,'Pricing (Drugs) SS'!$A:$A,0))</f>
        <v>NOREPINEPHRINE BITARTRATE INJECTION, USP 4mg PER 4mL (1 mg/mL) 4mL VIAL</v>
      </c>
      <c r="C138" s="187" t="str">
        <f>INDEX('Pricing (Drugs) SS'!$E:$E,MATCH(F138,'Pricing (Drugs) SS'!$A:$A,0))</f>
        <v>1mg/mL</v>
      </c>
      <c r="D138" s="188" t="str">
        <f>INDEX('Pricing (Drugs) SS'!$F:$F,MATCH(F138,'Pricing (Drugs) SS'!$A:$A,0))</f>
        <v>4mL</v>
      </c>
      <c r="E138" s="188" t="str">
        <f>INDEX('Pricing (Drugs) SS'!$D:$D,MATCH(F138,'Pricing (Drugs) SS'!$A:$A,0))</f>
        <v>0143-9318-10</v>
      </c>
      <c r="F138" s="189">
        <v>1015820</v>
      </c>
      <c r="G138" s="241">
        <f>INDEX('Pricing (Drugs) SS'!$I:$I,MATCH(F138,'Pricing (Drugs) SS'!$A:$A,0))</f>
        <v>3.3</v>
      </c>
      <c r="H138" s="241">
        <f t="shared" si="12"/>
        <v>0</v>
      </c>
      <c r="I138" s="190">
        <f>VLOOKUP(F138,'Price Sheet'!$A:$C,3,FALSE)</f>
        <v>52.5</v>
      </c>
      <c r="J138" s="191"/>
      <c r="K138" s="192">
        <f t="shared" si="14"/>
        <v>52.5</v>
      </c>
      <c r="L138" s="192">
        <f t="shared" si="15"/>
        <v>0</v>
      </c>
      <c r="M138" s="193" t="str">
        <f t="shared" si="11"/>
        <v/>
      </c>
      <c r="N138" s="194" t="str">
        <f t="shared" si="10"/>
        <v/>
      </c>
      <c r="O138" s="124" t="str">
        <f t="shared" si="13"/>
        <v/>
      </c>
      <c r="P138" s="124" t="str">
        <f>INDEX('Pricing (Drugs) SS'!$C:$C,MATCH(F138,'Pricing (Drugs) SS'!$A:$A,0))</f>
        <v>ACTIVE</v>
      </c>
      <c r="Q138" s="124" t="str">
        <f>IF(AND($L$23="Extra DEA Req",S138="X"),"SAFE- CONTROLLED",INDEX('Pricing (Drugs) SS'!$G:$G,MATCH(F138,'Pricing (Drugs) SS'!$A:$A,0)))</f>
        <v>DRUG ROOM</v>
      </c>
      <c r="R138" s="195" t="str">
        <f>INDEX('Pricing (Drugs) SS'!$H:$H,MATCH(F138,'Pricing (Drugs) SS'!$A:$A,0))</f>
        <v>Not on List</v>
      </c>
      <c r="S138" s="195" t="str">
        <f>IF(COUNTIFS('Version and Lists'!$F:$F,F138,'Version and Lists'!$G:$G,$M$22)&gt;0,"X","")</f>
        <v/>
      </c>
    </row>
    <row r="139" spans="1:19" ht="18.75" x14ac:dyDescent="0.3">
      <c r="A139" s="185">
        <f>INDEX('Cart Formulary Calculator'!$A$12:$A$433,MATCH(F139,'Cart Formulary Calculator'!$F$12:$F$433,0))</f>
        <v>0</v>
      </c>
      <c r="B139" s="186" t="str">
        <f>INDEX('Pricing (Drugs) SS'!$B:$B,MATCH(F139,'Pricing (Drugs) SS'!$A:$A,0))</f>
        <v>ONDANSETRON ORALLY DISINTEGRATING TABLETS, USP 4mg (2 PACK)</v>
      </c>
      <c r="C139" s="187" t="str">
        <f>INDEX('Pricing (Drugs) SS'!$E:$E,MATCH(F139,'Pricing (Drugs) SS'!$A:$A,0))</f>
        <v>4mg</v>
      </c>
      <c r="D139" s="188" t="str">
        <f>INDEX('Pricing (Drugs) SS'!$F:$F,MATCH(F139,'Pricing (Drugs) SS'!$A:$A,0))</f>
        <v>1 TABLET</v>
      </c>
      <c r="E139" s="188" t="str">
        <f>INDEX('Pricing (Drugs) SS'!$D:$D,MATCH(F139,'Pricing (Drugs) SS'!$A:$A,0))</f>
        <v>57237-077-10</v>
      </c>
      <c r="F139" s="189">
        <v>1014330</v>
      </c>
      <c r="G139" s="241">
        <f>INDEX('Pricing (Drugs) SS'!$I:$I,MATCH(F139,'Pricing (Drugs) SS'!$A:$A,0))</f>
        <v>0.19466666666666699</v>
      </c>
      <c r="H139" s="241">
        <f t="shared" si="12"/>
        <v>0</v>
      </c>
      <c r="I139" s="190">
        <f>VLOOKUP(F139,'Price Sheet'!$A:$C,3,FALSE)</f>
        <v>4.99</v>
      </c>
      <c r="J139" s="191"/>
      <c r="K139" s="192">
        <f t="shared" si="14"/>
        <v>4.99</v>
      </c>
      <c r="L139" s="192">
        <f t="shared" si="15"/>
        <v>0</v>
      </c>
      <c r="M139" s="193" t="str">
        <f t="shared" si="11"/>
        <v/>
      </c>
      <c r="N139" s="194" t="str">
        <f t="shared" si="10"/>
        <v/>
      </c>
      <c r="O139" s="124" t="str">
        <f t="shared" si="13"/>
        <v/>
      </c>
      <c r="P139" s="124" t="str">
        <f>INDEX('Pricing (Drugs) SS'!$C:$C,MATCH(F139,'Pricing (Drugs) SS'!$A:$A,0))</f>
        <v>ACTIVE</v>
      </c>
      <c r="Q139" s="124" t="str">
        <f>IF(AND($L$23="Extra DEA Req",S139="X"),"SAFE- CONTROLLED",INDEX('Pricing (Drugs) SS'!$G:$G,MATCH(F139,'Pricing (Drugs) SS'!$A:$A,0)))</f>
        <v>DRUG ROOM</v>
      </c>
      <c r="R139" s="195" t="str">
        <f>INDEX('Pricing (Drugs) SS'!$H:$H,MATCH(F139,'Pricing (Drugs) SS'!$A:$A,0))</f>
        <v>Not on List</v>
      </c>
      <c r="S139" s="195" t="str">
        <f>IF(COUNTIFS('Version and Lists'!$F:$F,F139,'Version and Lists'!$G:$G,$M$22)&gt;0,"X","")</f>
        <v/>
      </c>
    </row>
    <row r="140" spans="1:19" ht="18.75" x14ac:dyDescent="0.3">
      <c r="A140" s="185">
        <f>INDEX('Cart Formulary Calculator'!$A$12:$A$433,MATCH(F140,'Cart Formulary Calculator'!$F$12:$F$433,0))</f>
        <v>0</v>
      </c>
      <c r="B140" s="186" t="str">
        <f>INDEX('Pricing (Drugs) SS'!$B:$B,MATCH(F140,'Pricing (Drugs) SS'!$A:$A,0))</f>
        <v>ONDANSETRON INJECTION, USP 4mg/2mL (2mg/mL) VIAL</v>
      </c>
      <c r="C140" s="187" t="str">
        <f>INDEX('Pricing (Drugs) SS'!$E:$E,MATCH(F140,'Pricing (Drugs) SS'!$A:$A,0))</f>
        <v>2mg/mL</v>
      </c>
      <c r="D140" s="188" t="str">
        <f>INDEX('Pricing (Drugs) SS'!$F:$F,MATCH(F140,'Pricing (Drugs) SS'!$A:$A,0))</f>
        <v>2mL</v>
      </c>
      <c r="E140" s="188" t="str">
        <f>INDEX('Pricing (Drugs) SS'!$D:$D,MATCH(F140,'Pricing (Drugs) SS'!$A:$A,0))</f>
        <v>0641-6078-25</v>
      </c>
      <c r="F140" s="189">
        <v>1000480</v>
      </c>
      <c r="G140" s="241">
        <f>INDEX('Pricing (Drugs) SS'!$I:$I,MATCH(F140,'Pricing (Drugs) SS'!$A:$A,0))</f>
        <v>0.32079999999999997</v>
      </c>
      <c r="H140" s="241">
        <f t="shared" si="12"/>
        <v>0</v>
      </c>
      <c r="I140" s="190">
        <f>VLOOKUP(F140,'Price Sheet'!$A:$C,3,FALSE)</f>
        <v>14.95</v>
      </c>
      <c r="J140" s="191"/>
      <c r="K140" s="192">
        <f t="shared" si="14"/>
        <v>14.95</v>
      </c>
      <c r="L140" s="192">
        <f t="shared" si="15"/>
        <v>0</v>
      </c>
      <c r="M140" s="193" t="str">
        <f t="shared" si="11"/>
        <v/>
      </c>
      <c r="N140" s="194" t="str">
        <f t="shared" si="10"/>
        <v/>
      </c>
      <c r="O140" s="124" t="str">
        <f t="shared" si="13"/>
        <v/>
      </c>
      <c r="P140" s="124" t="str">
        <f>INDEX('Pricing (Drugs) SS'!$C:$C,MATCH(F140,'Pricing (Drugs) SS'!$A:$A,0))</f>
        <v>ACTIVE</v>
      </c>
      <c r="Q140" s="124" t="str">
        <f>IF(AND($L$23="Extra DEA Req",S140="X"),"SAFE- CONTROLLED",INDEX('Pricing (Drugs) SS'!$G:$G,MATCH(F140,'Pricing (Drugs) SS'!$A:$A,0)))</f>
        <v>DRUG ROOM</v>
      </c>
      <c r="R140" s="195" t="str">
        <f>INDEX('Pricing (Drugs) SS'!$H:$H,MATCH(F140,'Pricing (Drugs) SS'!$A:$A,0))</f>
        <v>Not on List</v>
      </c>
      <c r="S140" s="195" t="str">
        <f>IF(COUNTIFS('Version and Lists'!$F:$F,F140,'Version and Lists'!$G:$G,$M$22)&gt;0,"X","")</f>
        <v/>
      </c>
    </row>
    <row r="141" spans="1:19" ht="18.75" x14ac:dyDescent="0.3">
      <c r="A141" s="185">
        <f>INDEX('Cart Formulary Calculator'!$A$12:$A$433,MATCH(F141,'Cart Formulary Calculator'!$F$12:$F$433,0))</f>
        <v>0</v>
      </c>
      <c r="B141" s="186" t="str">
        <f>INDEX('Pricing (Drugs) SS'!$B:$B,MATCH(F141,'Pricing (Drugs) SS'!$A:$A,0))</f>
        <v>PHENYLEPHRINE HCI INJECTION, USP 10mg/mL 1mL VIAL</v>
      </c>
      <c r="C141" s="187" t="str">
        <f>INDEX('Pricing (Drugs) SS'!$E:$E,MATCH(F141,'Pricing (Drugs) SS'!$A:$A,0))</f>
        <v>10mg/mL</v>
      </c>
      <c r="D141" s="188" t="str">
        <f>INDEX('Pricing (Drugs) SS'!$F:$F,MATCH(F141,'Pricing (Drugs) SS'!$A:$A,0))</f>
        <v>1mL</v>
      </c>
      <c r="E141" s="188" t="str">
        <f>INDEX('Pricing (Drugs) SS'!$D:$D,MATCH(F141,'Pricing (Drugs) SS'!$A:$A,0))</f>
        <v>0641-6142-25</v>
      </c>
      <c r="F141" s="189">
        <v>1000520</v>
      </c>
      <c r="G141" s="241">
        <f>INDEX('Pricing (Drugs) SS'!$I:$I,MATCH(F141,'Pricing (Drugs) SS'!$A:$A,0))</f>
        <v>0.95</v>
      </c>
      <c r="H141" s="241">
        <f t="shared" si="12"/>
        <v>0</v>
      </c>
      <c r="I141" s="190">
        <f>VLOOKUP(F141,'Price Sheet'!$A:$C,3,FALSE)</f>
        <v>25.45</v>
      </c>
      <c r="J141" s="191"/>
      <c r="K141" s="192">
        <f t="shared" si="14"/>
        <v>25.45</v>
      </c>
      <c r="L141" s="192">
        <f t="shared" si="15"/>
        <v>0</v>
      </c>
      <c r="M141" s="193" t="str">
        <f t="shared" si="11"/>
        <v/>
      </c>
      <c r="N141" s="194" t="str">
        <f t="shared" si="10"/>
        <v/>
      </c>
      <c r="O141" s="124" t="str">
        <f t="shared" si="13"/>
        <v/>
      </c>
      <c r="P141" s="124" t="str">
        <f>INDEX('Pricing (Drugs) SS'!$C:$C,MATCH(F141,'Pricing (Drugs) SS'!$A:$A,0))</f>
        <v>ACTIVE</v>
      </c>
      <c r="Q141" s="124" t="str">
        <f>IF(AND($L$23="Extra DEA Req",S141="X"),"SAFE- CONTROLLED",INDEX('Pricing (Drugs) SS'!$G:$G,MATCH(F141,'Pricing (Drugs) SS'!$A:$A,0)))</f>
        <v>DRUG ROOM</v>
      </c>
      <c r="R141" s="195" t="str">
        <f>INDEX('Pricing (Drugs) SS'!$H:$H,MATCH(F141,'Pricing (Drugs) SS'!$A:$A,0))</f>
        <v>Not on List</v>
      </c>
      <c r="S141" s="195" t="str">
        <f>IF(COUNTIFS('Version and Lists'!$F:$F,F141,'Version and Lists'!$G:$G,$M$22)&gt;0,"X","")</f>
        <v/>
      </c>
    </row>
    <row r="142" spans="1:19" ht="18.75" x14ac:dyDescent="0.3">
      <c r="A142" s="185">
        <f>INDEX('Cart Formulary Calculator'!$A$12:$A$433,MATCH(F142,'Cart Formulary Calculator'!$F$12:$F$433,0))</f>
        <v>0</v>
      </c>
      <c r="B142" s="186" t="str">
        <f>INDEX('Pricing (Drugs) SS'!$B:$B,MATCH(F142,'Pricing (Drugs) SS'!$A:$A,0))</f>
        <v>PHENYTOIN SODIUM INJ., USP 100mg/2mL (50mg/mL) VIAL</v>
      </c>
      <c r="C142" s="187" t="str">
        <f>INDEX('Pricing (Drugs) SS'!$E:$E,MATCH(F142,'Pricing (Drugs) SS'!$A:$A,0))</f>
        <v>50mg/mL</v>
      </c>
      <c r="D142" s="188" t="str">
        <f>INDEX('Pricing (Drugs) SS'!$F:$F,MATCH(F142,'Pricing (Drugs) SS'!$A:$A,0))</f>
        <v>2mL</v>
      </c>
      <c r="E142" s="188" t="str">
        <f>INDEX('Pricing (Drugs) SS'!$D:$D,MATCH(F142,'Pricing (Drugs) SS'!$A:$A,0))</f>
        <v>0641-0493-25</v>
      </c>
      <c r="F142" s="189">
        <v>1000540</v>
      </c>
      <c r="G142" s="241">
        <f>INDEX('Pricing (Drugs) SS'!$I:$I,MATCH(F142,'Pricing (Drugs) SS'!$A:$A,0))</f>
        <v>1.2504</v>
      </c>
      <c r="H142" s="241">
        <f t="shared" si="12"/>
        <v>0</v>
      </c>
      <c r="I142" s="190">
        <f>VLOOKUP(F142,'Price Sheet'!$A:$C,3,FALSE)</f>
        <v>11.2</v>
      </c>
      <c r="J142" s="191"/>
      <c r="K142" s="192">
        <f t="shared" si="14"/>
        <v>11.2</v>
      </c>
      <c r="L142" s="192">
        <f t="shared" si="15"/>
        <v>0</v>
      </c>
      <c r="M142" s="193" t="str">
        <f t="shared" si="11"/>
        <v/>
      </c>
      <c r="N142" s="194" t="str">
        <f t="shared" si="10"/>
        <v/>
      </c>
      <c r="O142" s="124" t="str">
        <f t="shared" si="13"/>
        <v/>
      </c>
      <c r="P142" s="124" t="str">
        <f>INDEX('Pricing (Drugs) SS'!$C:$C,MATCH(F142,'Pricing (Drugs) SS'!$A:$A,0))</f>
        <v>ACTIVE</v>
      </c>
      <c r="Q142" s="124" t="str">
        <f>IF(AND($L$23="Extra DEA Req",S142="X"),"SAFE- CONTROLLED",INDEX('Pricing (Drugs) SS'!$G:$G,MATCH(F142,'Pricing (Drugs) SS'!$A:$A,0)))</f>
        <v>DRUG ROOM</v>
      </c>
      <c r="R142" s="195" t="str">
        <f>INDEX('Pricing (Drugs) SS'!$H:$H,MATCH(F142,'Pricing (Drugs) SS'!$A:$A,0))</f>
        <v>Not on List</v>
      </c>
      <c r="S142" s="195" t="str">
        <f>IF(COUNTIFS('Version and Lists'!$F:$F,F142,'Version and Lists'!$G:$G,$M$22)&gt;0,"X","")</f>
        <v/>
      </c>
    </row>
    <row r="143" spans="1:19" ht="18.75" x14ac:dyDescent="0.3">
      <c r="A143" s="185">
        <f>INDEX('Cart Formulary Calculator'!$A$12:$A$433,MATCH(F143,'Cart Formulary Calculator'!$F$12:$F$433,0))</f>
        <v>0</v>
      </c>
      <c r="B143" s="186" t="str">
        <f>INDEX('Pricing (Drugs) SS'!$B:$B,MATCH(F143,'Pricing (Drugs) SS'!$A:$A,0))</f>
        <v>POTASSIUM CHLORIDE FOR INJECTION CONCENTRATE, USP 20 mEq/10mL (2 mEq/mL)</v>
      </c>
      <c r="C143" s="187" t="str">
        <f>INDEX('Pricing (Drugs) SS'!$E:$E,MATCH(F143,'Pricing (Drugs) SS'!$A:$A,0))</f>
        <v>2 mEq/mL</v>
      </c>
      <c r="D143" s="188" t="str">
        <f>INDEX('Pricing (Drugs) SS'!$F:$F,MATCH(F143,'Pricing (Drugs) SS'!$A:$A,0))</f>
        <v>10mL</v>
      </c>
      <c r="E143" s="188" t="str">
        <f>INDEX('Pricing (Drugs) SS'!$D:$D,MATCH(F143,'Pricing (Drugs) SS'!$A:$A,0))</f>
        <v>0409-6651-06</v>
      </c>
      <c r="F143" s="189">
        <v>1011810</v>
      </c>
      <c r="G143" s="241">
        <f>INDEX('Pricing (Drugs) SS'!$I:$I,MATCH(F143,'Pricing (Drugs) SS'!$A:$A,0))</f>
        <v>3.59</v>
      </c>
      <c r="H143" s="241">
        <f t="shared" si="12"/>
        <v>0</v>
      </c>
      <c r="I143" s="190">
        <f>VLOOKUP(F143,'Price Sheet'!$A:$C,3,FALSE)</f>
        <v>15.99</v>
      </c>
      <c r="J143" s="191"/>
      <c r="K143" s="192">
        <f t="shared" si="14"/>
        <v>15.99</v>
      </c>
      <c r="L143" s="192">
        <f t="shared" si="15"/>
        <v>0</v>
      </c>
      <c r="M143" s="193" t="str">
        <f t="shared" si="11"/>
        <v/>
      </c>
      <c r="N143" s="194" t="str">
        <f t="shared" si="10"/>
        <v>X</v>
      </c>
      <c r="O143" s="124" t="str">
        <f t="shared" si="13"/>
        <v/>
      </c>
      <c r="P143" s="124" t="str">
        <f>INDEX('Pricing (Drugs) SS'!$C:$C,MATCH(F143,'Pricing (Drugs) SS'!$A:$A,0))</f>
        <v>ACTIVE</v>
      </c>
      <c r="Q143" s="124" t="str">
        <f>IF(AND($L$23="Extra DEA Req",S143="X"),"SAFE- CONTROLLED",INDEX('Pricing (Drugs) SS'!$G:$G,MATCH(F143,'Pricing (Drugs) SS'!$A:$A,0)))</f>
        <v>DRUG ROOM</v>
      </c>
      <c r="R143" s="195" t="str">
        <f>INDEX('Pricing (Drugs) SS'!$H:$H,MATCH(F143,'Pricing (Drugs) SS'!$A:$A,0))</f>
        <v>Lethal Injection Drug</v>
      </c>
      <c r="S143" s="195" t="str">
        <f>IF(COUNTIFS('Version and Lists'!$F:$F,F143,'Version and Lists'!$G:$G,$M$22)&gt;0,"X","")</f>
        <v/>
      </c>
    </row>
    <row r="144" spans="1:19" ht="18.75" x14ac:dyDescent="0.3">
      <c r="A144" s="185">
        <f>INDEX('Cart Formulary Calculator'!$A$12:$A$433,MATCH(F144,'Cart Formulary Calculator'!$F$12:$F$433,0))</f>
        <v>0</v>
      </c>
      <c r="B144" s="186" t="str">
        <f>INDEX('Pricing (Drugs) SS'!$B:$B,MATCH(F144,'Pricing (Drugs) SS'!$A:$A,0))</f>
        <v>PROCAINAMIDE HYDROCHLORIDE INJ, USP 100mg/mL 10mL SYR</v>
      </c>
      <c r="C144" s="187" t="str">
        <f>INDEX('Pricing (Drugs) SS'!$E:$E,MATCH(F144,'Pricing (Drugs) SS'!$A:$A,0))</f>
        <v>100mg/mL</v>
      </c>
      <c r="D144" s="188" t="str">
        <f>INDEX('Pricing (Drugs) SS'!$F:$F,MATCH(F144,'Pricing (Drugs) SS'!$A:$A,0))</f>
        <v>10mL</v>
      </c>
      <c r="E144" s="188" t="str">
        <f>INDEX('Pricing (Drugs) SS'!$D:$D,MATCH(F144,'Pricing (Drugs) SS'!$A:$A,0))</f>
        <v>76329-3399-5</v>
      </c>
      <c r="F144" s="189">
        <v>1024020</v>
      </c>
      <c r="G144" s="241">
        <f>INDEX('Pricing (Drugs) SS'!$I:$I,MATCH(F144,'Pricing (Drugs) SS'!$A:$A,0))</f>
        <v>85</v>
      </c>
      <c r="H144" s="241">
        <f t="shared" si="12"/>
        <v>0</v>
      </c>
      <c r="I144" s="190">
        <f>VLOOKUP(F144,'Price Sheet'!$A:$C,3,FALSE)</f>
        <v>189</v>
      </c>
      <c r="J144" s="191"/>
      <c r="K144" s="192">
        <f t="shared" si="14"/>
        <v>189</v>
      </c>
      <c r="L144" s="192">
        <f t="shared" si="15"/>
        <v>0</v>
      </c>
      <c r="M144" s="193" t="str">
        <f t="shared" si="11"/>
        <v/>
      </c>
      <c r="N144" s="194" t="str">
        <f t="shared" si="10"/>
        <v/>
      </c>
      <c r="O144" s="124" t="str">
        <f t="shared" si="13"/>
        <v/>
      </c>
      <c r="P144" s="124" t="str">
        <f>INDEX('Pricing (Drugs) SS'!$C:$C,MATCH(F144,'Pricing (Drugs) SS'!$A:$A,0))</f>
        <v>ACTIVE</v>
      </c>
      <c r="Q144" s="124" t="str">
        <f>IF(AND($L$23="Extra DEA Req",S144="X"),"SAFE- CONTROLLED",INDEX('Pricing (Drugs) SS'!$G:$G,MATCH(F144,'Pricing (Drugs) SS'!$A:$A,0)))</f>
        <v>DRUG ROOM</v>
      </c>
      <c r="R144" s="195" t="str">
        <f>INDEX('Pricing (Drugs) SS'!$H:$H,MATCH(F144,'Pricing (Drugs) SS'!$A:$A,0))</f>
        <v>Not on List</v>
      </c>
      <c r="S144" s="195" t="str">
        <f>IF(COUNTIFS('Version and Lists'!$F:$F,F144,'Version and Lists'!$G:$G,$M$22)&gt;0,"X","")</f>
        <v/>
      </c>
    </row>
    <row r="145" spans="1:19" ht="18.75" x14ac:dyDescent="0.3">
      <c r="A145" s="185">
        <f>INDEX('Cart Formulary Calculator'!$A$12:$A$433,MATCH(F145,'Cart Formulary Calculator'!$F$12:$F$433,0))</f>
        <v>0</v>
      </c>
      <c r="B145" s="186" t="str">
        <f>INDEX('Pricing (Drugs) SS'!$B:$B,MATCH(F145,'Pricing (Drugs) SS'!$A:$A,0))</f>
        <v>PROMETHAZINE HCI INJECTION, USP 50mg/mL 1mL AMPULE</v>
      </c>
      <c r="C145" s="187" t="str">
        <f>INDEX('Pricing (Drugs) SS'!$E:$E,MATCH(F145,'Pricing (Drugs) SS'!$A:$A,0))</f>
        <v>50mg/mL</v>
      </c>
      <c r="D145" s="188" t="str">
        <f>INDEX('Pricing (Drugs) SS'!$F:$F,MATCH(F145,'Pricing (Drugs) SS'!$A:$A,0))</f>
        <v>1mL</v>
      </c>
      <c r="E145" s="188" t="str">
        <f>INDEX('Pricing (Drugs) SS'!$D:$D,MATCH(F145,'Pricing (Drugs) SS'!$A:$A,0))</f>
        <v>0641-1496-35</v>
      </c>
      <c r="F145" s="189">
        <v>1000510</v>
      </c>
      <c r="G145" s="241">
        <f>INDEX('Pricing (Drugs) SS'!$I:$I,MATCH(F145,'Pricing (Drugs) SS'!$A:$A,0))</f>
        <v>2.0304000000000002</v>
      </c>
      <c r="H145" s="241">
        <f t="shared" si="12"/>
        <v>0</v>
      </c>
      <c r="I145" s="190">
        <f>VLOOKUP(F145,'Price Sheet'!$A:$C,3,FALSE)</f>
        <v>10.75</v>
      </c>
      <c r="J145" s="191"/>
      <c r="K145" s="192">
        <f t="shared" si="14"/>
        <v>10.75</v>
      </c>
      <c r="L145" s="192">
        <f t="shared" si="15"/>
        <v>0</v>
      </c>
      <c r="M145" s="193" t="str">
        <f t="shared" si="11"/>
        <v/>
      </c>
      <c r="N145" s="194" t="str">
        <f t="shared" si="10"/>
        <v/>
      </c>
      <c r="O145" s="124" t="str">
        <f t="shared" si="13"/>
        <v/>
      </c>
      <c r="P145" s="124" t="str">
        <f>INDEX('Pricing (Drugs) SS'!$C:$C,MATCH(F145,'Pricing (Drugs) SS'!$A:$A,0))</f>
        <v>ACTIVE</v>
      </c>
      <c r="Q145" s="124" t="str">
        <f>IF(AND($L$23="Extra DEA Req",S145="X"),"SAFE- CONTROLLED",INDEX('Pricing (Drugs) SS'!$G:$G,MATCH(F145,'Pricing (Drugs) SS'!$A:$A,0)))</f>
        <v>DRUG ROOM</v>
      </c>
      <c r="R145" s="195" t="str">
        <f>INDEX('Pricing (Drugs) SS'!$H:$H,MATCH(F145,'Pricing (Drugs) SS'!$A:$A,0))</f>
        <v>Not on List</v>
      </c>
      <c r="S145" s="195" t="str">
        <f>IF(COUNTIFS('Version and Lists'!$F:$F,F145,'Version and Lists'!$G:$G,$M$22)&gt;0,"X","")</f>
        <v/>
      </c>
    </row>
    <row r="146" spans="1:19" ht="18.75" x14ac:dyDescent="0.3">
      <c r="A146" s="185">
        <f>INDEX('Cart Formulary Calculator'!$A$12:$A$433,MATCH(F146,'Cart Formulary Calculator'!$F$12:$F$433,0))</f>
        <v>0</v>
      </c>
      <c r="B146" s="186" t="str">
        <f>INDEX('Pricing (Drugs) SS'!$B:$B,MATCH(F146,'Pricing (Drugs) SS'!$A:$A,0))</f>
        <v>PROMETHAZINE HCI INJECTION, USP 25mg/mL 1mL VIAL</v>
      </c>
      <c r="C146" s="187" t="str">
        <f>INDEX('Pricing (Drugs) SS'!$E:$E,MATCH(F146,'Pricing (Drugs) SS'!$A:$A,0))</f>
        <v>25mg/mL</v>
      </c>
      <c r="D146" s="188" t="str">
        <f>INDEX('Pricing (Drugs) SS'!$F:$F,MATCH(F146,'Pricing (Drugs) SS'!$A:$A,0))</f>
        <v>1mL</v>
      </c>
      <c r="E146" s="188" t="str">
        <f>INDEX('Pricing (Drugs) SS'!$D:$D,MATCH(F146,'Pricing (Drugs) SS'!$A:$A,0))</f>
        <v>0641-0928-25</v>
      </c>
      <c r="F146" s="189">
        <v>1000500</v>
      </c>
      <c r="G146" s="241">
        <f>INDEX('Pricing (Drugs) SS'!$I:$I,MATCH(F146,'Pricing (Drugs) SS'!$A:$A,0))</f>
        <v>1.66</v>
      </c>
      <c r="H146" s="241">
        <f t="shared" si="12"/>
        <v>0</v>
      </c>
      <c r="I146" s="190">
        <f>VLOOKUP(F146,'Price Sheet'!$A:$C,3,FALSE)</f>
        <v>9.9499999999999993</v>
      </c>
      <c r="J146" s="191"/>
      <c r="K146" s="192">
        <f t="shared" si="14"/>
        <v>9.9499999999999993</v>
      </c>
      <c r="L146" s="192">
        <f t="shared" si="15"/>
        <v>0</v>
      </c>
      <c r="M146" s="193" t="str">
        <f t="shared" si="11"/>
        <v/>
      </c>
      <c r="N146" s="194" t="str">
        <f t="shared" si="10"/>
        <v/>
      </c>
      <c r="O146" s="124" t="str">
        <f t="shared" si="13"/>
        <v/>
      </c>
      <c r="P146" s="124" t="str">
        <f>INDEX('Pricing (Drugs) SS'!$C:$C,MATCH(F146,'Pricing (Drugs) SS'!$A:$A,0))</f>
        <v>ACTIVE</v>
      </c>
      <c r="Q146" s="124" t="str">
        <f>IF(AND($L$23="Extra DEA Req",S146="X"),"SAFE- CONTROLLED",INDEX('Pricing (Drugs) SS'!$G:$G,MATCH(F146,'Pricing (Drugs) SS'!$A:$A,0)))</f>
        <v>DRUG ROOM</v>
      </c>
      <c r="R146" s="195" t="str">
        <f>INDEX('Pricing (Drugs) SS'!$H:$H,MATCH(F146,'Pricing (Drugs) SS'!$A:$A,0))</f>
        <v>Not on List</v>
      </c>
      <c r="S146" s="195" t="str">
        <f>IF(COUNTIFS('Version and Lists'!$F:$F,F146,'Version and Lists'!$G:$G,$M$22)&gt;0,"X","")</f>
        <v/>
      </c>
    </row>
    <row r="147" spans="1:19" ht="18.75" x14ac:dyDescent="0.3">
      <c r="A147" s="185">
        <f>INDEX('Cart Formulary Calculator'!$A$12:$A$433,MATCH(F147,'Cart Formulary Calculator'!$F$12:$F$433,0))</f>
        <v>0</v>
      </c>
      <c r="B147" s="186" t="str">
        <f>INDEX('Pricing (Drugs) SS'!$B:$B,MATCH(F147,'Pricing (Drugs) SS'!$A:$A,0))</f>
        <v>PROPOFOL INJECTABLE EMULSION 500mg/50mL (10mg/mL) 50mL VIAL</v>
      </c>
      <c r="C147" s="187" t="str">
        <f>INDEX('Pricing (Drugs) SS'!$E:$E,MATCH(F147,'Pricing (Drugs) SS'!$A:$A,0))</f>
        <v>10mg/mL</v>
      </c>
      <c r="D147" s="188" t="str">
        <f>INDEX('Pricing (Drugs) SS'!$F:$F,MATCH(F147,'Pricing (Drugs) SS'!$A:$A,0))</f>
        <v>50mL</v>
      </c>
      <c r="E147" s="188" t="str">
        <f>INDEX('Pricing (Drugs) SS'!$D:$D,MATCH(F147,'Pricing (Drugs) SS'!$A:$A,0))</f>
        <v>0409-4699-33</v>
      </c>
      <c r="F147" s="189">
        <v>1012910</v>
      </c>
      <c r="G147" s="241">
        <f>INDEX('Pricing (Drugs) SS'!$I:$I,MATCH(F147,'Pricing (Drugs) SS'!$A:$A,0))</f>
        <v>4.8250000000000002</v>
      </c>
      <c r="H147" s="241">
        <f t="shared" si="12"/>
        <v>0</v>
      </c>
      <c r="I147" s="190">
        <f>VLOOKUP(F147,'Price Sheet'!$A:$C,3,FALSE)</f>
        <v>39.99</v>
      </c>
      <c r="J147" s="191"/>
      <c r="K147" s="192">
        <f t="shared" si="14"/>
        <v>39.99</v>
      </c>
      <c r="L147" s="192">
        <f t="shared" si="15"/>
        <v>0</v>
      </c>
      <c r="M147" s="193" t="str">
        <f t="shared" si="11"/>
        <v/>
      </c>
      <c r="N147" s="194" t="str">
        <f t="shared" si="10"/>
        <v>X</v>
      </c>
      <c r="O147" s="124" t="str">
        <f t="shared" si="13"/>
        <v/>
      </c>
      <c r="P147" s="124" t="str">
        <f>INDEX('Pricing (Drugs) SS'!$C:$C,MATCH(F147,'Pricing (Drugs) SS'!$A:$A,0))</f>
        <v>RESTRICTED</v>
      </c>
      <c r="Q147" s="124" t="str">
        <f>IF(AND($L$23="Extra DEA Req",S147="X"),"SAFE- CONTROLLED",INDEX('Pricing (Drugs) SS'!$G:$G,MATCH(F147,'Pricing (Drugs) SS'!$A:$A,0)))</f>
        <v>DRUG ROOM</v>
      </c>
      <c r="R147" s="195" t="str">
        <f>INDEX('Pricing (Drugs) SS'!$H:$H,MATCH(F147,'Pricing (Drugs) SS'!$A:$A,0))</f>
        <v>Lethal Injection Drug</v>
      </c>
      <c r="S147" s="195" t="str">
        <f>IF(COUNTIFS('Version and Lists'!$F:$F,F147,'Version and Lists'!$G:$G,$M$22)&gt;0,"X","")</f>
        <v/>
      </c>
    </row>
    <row r="148" spans="1:19" ht="18.75" x14ac:dyDescent="0.3">
      <c r="A148" s="185">
        <f>INDEX('Cart Formulary Calculator'!$A$12:$A$433,MATCH(F148,'Cart Formulary Calculator'!$F$12:$F$433,0))</f>
        <v>0</v>
      </c>
      <c r="B148" s="186" t="str">
        <f>INDEX('Pricing (Drugs) SS'!$B:$B,MATCH(F148,'Pricing (Drugs) SS'!$A:$A,0))</f>
        <v>PROPOFOL INJECTABLE EMULSION 1g/100mL (10mg/mL) 100mL VIAL</v>
      </c>
      <c r="C148" s="187" t="str">
        <f>INDEX('Pricing (Drugs) SS'!$E:$E,MATCH(F148,'Pricing (Drugs) SS'!$A:$A,0))</f>
        <v>10mg/mL</v>
      </c>
      <c r="D148" s="188" t="str">
        <f>INDEX('Pricing (Drugs) SS'!$F:$F,MATCH(F148,'Pricing (Drugs) SS'!$A:$A,0))</f>
        <v>100mL</v>
      </c>
      <c r="E148" s="188" t="str">
        <f>INDEX('Pricing (Drugs) SS'!$D:$D,MATCH(F148,'Pricing (Drugs) SS'!$A:$A,0))</f>
        <v>0409-4699-24</v>
      </c>
      <c r="F148" s="189">
        <v>1012900</v>
      </c>
      <c r="G148" s="241">
        <f>INDEX('Pricing (Drugs) SS'!$I:$I,MATCH(F148,'Pricing (Drugs) SS'!$A:$A,0))</f>
        <v>9.65</v>
      </c>
      <c r="H148" s="241">
        <f t="shared" si="12"/>
        <v>0</v>
      </c>
      <c r="I148" s="190">
        <f>VLOOKUP(F148,'Price Sheet'!$A:$C,3,FALSE)</f>
        <v>69.989999999999995</v>
      </c>
      <c r="J148" s="191"/>
      <c r="K148" s="192">
        <f t="shared" si="14"/>
        <v>69.989999999999995</v>
      </c>
      <c r="L148" s="192">
        <f t="shared" si="15"/>
        <v>0</v>
      </c>
      <c r="M148" s="193" t="str">
        <f t="shared" si="11"/>
        <v/>
      </c>
      <c r="N148" s="194" t="str">
        <f t="shared" si="10"/>
        <v>X</v>
      </c>
      <c r="O148" s="124" t="str">
        <f t="shared" si="13"/>
        <v/>
      </c>
      <c r="P148" s="124" t="str">
        <f>INDEX('Pricing (Drugs) SS'!$C:$C,MATCH(F148,'Pricing (Drugs) SS'!$A:$A,0))</f>
        <v>RESTRICTED</v>
      </c>
      <c r="Q148" s="124" t="str">
        <f>IF(AND($L$23="Extra DEA Req",S148="X"),"SAFE- CONTROLLED",INDEX('Pricing (Drugs) SS'!$G:$G,MATCH(F148,'Pricing (Drugs) SS'!$A:$A,0)))</f>
        <v>DRUG ROOM</v>
      </c>
      <c r="R148" s="195" t="str">
        <f>INDEX('Pricing (Drugs) SS'!$H:$H,MATCH(F148,'Pricing (Drugs) SS'!$A:$A,0))</f>
        <v>Lethal Injection Drug</v>
      </c>
      <c r="S148" s="195" t="str">
        <f>IF(COUNTIFS('Version and Lists'!$F:$F,F148,'Version and Lists'!$G:$G,$M$22)&gt;0,"X","")</f>
        <v/>
      </c>
    </row>
    <row r="149" spans="1:19" ht="18.75" x14ac:dyDescent="0.3">
      <c r="A149" s="185">
        <f>INDEX('Cart Formulary Calculator'!$A$12:$A$433,MATCH(F149,'Cart Formulary Calculator'!$F$12:$F$433,0))</f>
        <v>0</v>
      </c>
      <c r="B149" s="186" t="str">
        <f>INDEX('Pricing (Drugs) SS'!$B:$B,MATCH(F149,'Pricing (Drugs) SS'!$A:$A,0))</f>
        <v>SODIUM BICARBONATE INJECTION USP, 8.4% 50mEq/50mL (1mEq/mL) 50mL VIAL</v>
      </c>
      <c r="C149" s="187" t="str">
        <f>INDEX('Pricing (Drugs) SS'!$E:$E,MATCH(F149,'Pricing (Drugs) SS'!$A:$A,0))</f>
        <v>1mEq/mL</v>
      </c>
      <c r="D149" s="188" t="str">
        <f>INDEX('Pricing (Drugs) SS'!$F:$F,MATCH(F149,'Pricing (Drugs) SS'!$A:$A,0))</f>
        <v>50mL</v>
      </c>
      <c r="E149" s="188" t="str">
        <f>INDEX('Pricing (Drugs) SS'!$D:$D,MATCH(F149,'Pricing (Drugs) SS'!$A:$A,0))</f>
        <v>0409-6625-14</v>
      </c>
      <c r="F149" s="189">
        <v>1000590</v>
      </c>
      <c r="G149" s="241">
        <f>INDEX('Pricing (Drugs) SS'!$I:$I,MATCH(F149,'Pricing (Drugs) SS'!$A:$A,0))</f>
        <v>9.8336000000000006</v>
      </c>
      <c r="H149" s="241">
        <f t="shared" si="12"/>
        <v>0</v>
      </c>
      <c r="I149" s="190">
        <f>VLOOKUP(F149,'Price Sheet'!$A:$C,3,FALSE)</f>
        <v>49.99</v>
      </c>
      <c r="J149" s="191"/>
      <c r="K149" s="192">
        <f t="shared" si="14"/>
        <v>49.99</v>
      </c>
      <c r="L149" s="192">
        <f t="shared" si="15"/>
        <v>0</v>
      </c>
      <c r="M149" s="193" t="str">
        <f t="shared" si="11"/>
        <v/>
      </c>
      <c r="N149" s="194" t="str">
        <f t="shared" si="10"/>
        <v/>
      </c>
      <c r="O149" s="124" t="str">
        <f t="shared" si="13"/>
        <v/>
      </c>
      <c r="P149" s="124" t="str">
        <f>INDEX('Pricing (Drugs) SS'!$C:$C,MATCH(F149,'Pricing (Drugs) SS'!$A:$A,0))</f>
        <v>ACTIVE</v>
      </c>
      <c r="Q149" s="124" t="str">
        <f>IF(AND($L$23="Extra DEA Req",S149="X"),"SAFE- CONTROLLED",INDEX('Pricing (Drugs) SS'!$G:$G,MATCH(F149,'Pricing (Drugs) SS'!$A:$A,0)))</f>
        <v>DRUG ROOM</v>
      </c>
      <c r="R149" s="195" t="str">
        <f>INDEX('Pricing (Drugs) SS'!$H:$H,MATCH(F149,'Pricing (Drugs) SS'!$A:$A,0))</f>
        <v>Not on List</v>
      </c>
      <c r="S149" s="195" t="str">
        <f>IF(COUNTIFS('Version and Lists'!$F:$F,F149,'Version and Lists'!$G:$G,$M$22)&gt;0,"X","")</f>
        <v/>
      </c>
    </row>
    <row r="150" spans="1:19" ht="18.75" x14ac:dyDescent="0.3">
      <c r="A150" s="185">
        <f>INDEX('Cart Formulary Calculator'!$A$12:$A$433,MATCH(F150,'Cart Formulary Calculator'!$F$12:$F$433,0))</f>
        <v>0</v>
      </c>
      <c r="B150" s="186" t="str">
        <f>INDEX('Pricing (Drugs) SS'!$B:$B,MATCH(F150,'Pricing (Drugs) SS'!$A:$A,0))</f>
        <v>4.2% SODIUM BICARBONATE INJECTION, USP 5mEq/10mL (0.5 mEq/mL) 10mL SYR</v>
      </c>
      <c r="C150" s="187" t="str">
        <f>INDEX('Pricing (Drugs) SS'!$E:$E,MATCH(F150,'Pricing (Drugs) SS'!$A:$A,0))</f>
        <v>0.5 mEq/mL</v>
      </c>
      <c r="D150" s="188" t="str">
        <f>INDEX('Pricing (Drugs) SS'!$F:$F,MATCH(F150,'Pricing (Drugs) SS'!$A:$A,0))</f>
        <v>10mL</v>
      </c>
      <c r="E150" s="188" t="str">
        <f>INDEX('Pricing (Drugs) SS'!$D:$D,MATCH(F150,'Pricing (Drugs) SS'!$A:$A,0))</f>
        <v>0409-5534-14</v>
      </c>
      <c r="F150" s="189">
        <v>1009340</v>
      </c>
      <c r="G150" s="241">
        <f>INDEX('Pricing (Drugs) SS'!$I:$I,MATCH(F150,'Pricing (Drugs) SS'!$A:$A,0))</f>
        <v>20.079999999999998</v>
      </c>
      <c r="H150" s="241">
        <f t="shared" si="12"/>
        <v>0</v>
      </c>
      <c r="I150" s="190">
        <f>VLOOKUP(F150,'Price Sheet'!$A:$C,3,FALSE)</f>
        <v>56.97</v>
      </c>
      <c r="J150" s="191"/>
      <c r="K150" s="192">
        <f t="shared" si="14"/>
        <v>56.97</v>
      </c>
      <c r="L150" s="192">
        <f t="shared" si="15"/>
        <v>0</v>
      </c>
      <c r="M150" s="193" t="str">
        <f t="shared" si="11"/>
        <v/>
      </c>
      <c r="N150" s="194" t="str">
        <f t="shared" si="10"/>
        <v/>
      </c>
      <c r="O150" s="124" t="str">
        <f t="shared" si="13"/>
        <v/>
      </c>
      <c r="P150" s="124" t="str">
        <f>INDEX('Pricing (Drugs) SS'!$C:$C,MATCH(F150,'Pricing (Drugs) SS'!$A:$A,0))</f>
        <v>ACTIVE</v>
      </c>
      <c r="Q150" s="124" t="str">
        <f>IF(AND($L$23="Extra DEA Req",S150="X"),"SAFE- CONTROLLED",INDEX('Pricing (Drugs) SS'!$G:$G,MATCH(F150,'Pricing (Drugs) SS'!$A:$A,0)))</f>
        <v>DRUG ROOM</v>
      </c>
      <c r="R150" s="195" t="str">
        <f>INDEX('Pricing (Drugs) SS'!$H:$H,MATCH(F150,'Pricing (Drugs) SS'!$A:$A,0))</f>
        <v>Not on List</v>
      </c>
      <c r="S150" s="195" t="str">
        <f>IF(COUNTIFS('Version and Lists'!$F:$F,F150,'Version and Lists'!$G:$G,$M$22)&gt;0,"X","")</f>
        <v/>
      </c>
    </row>
    <row r="151" spans="1:19" ht="18.75" x14ac:dyDescent="0.3">
      <c r="A151" s="185">
        <f>INDEX('Cart Formulary Calculator'!$A$12:$A$433,MATCH(F151,'Cart Formulary Calculator'!$F$12:$F$433,0))</f>
        <v>0</v>
      </c>
      <c r="B151" s="186" t="str">
        <f>INDEX('Pricing (Drugs) SS'!$B:$B,MATCH(F151,'Pricing (Drugs) SS'!$A:$A,0))</f>
        <v>SODIUM BICARBONATE INJECTION USP, 8.4% 50 mEq/50 mL (1 mEq/mL) LUER-JET™ SYR</v>
      </c>
      <c r="C151" s="187" t="str">
        <f>INDEX('Pricing (Drugs) SS'!$E:$E,MATCH(F151,'Pricing (Drugs) SS'!$A:$A,0))</f>
        <v>84mg/1mL</v>
      </c>
      <c r="D151" s="188" t="str">
        <f>INDEX('Pricing (Drugs) SS'!$F:$F,MATCH(F151,'Pricing (Drugs) SS'!$A:$A,0))</f>
        <v>50 mL</v>
      </c>
      <c r="E151" s="188" t="str">
        <f>INDEX('Pricing (Drugs) SS'!$D:$D,MATCH(F151,'Pricing (Drugs) SS'!$A:$A,0))</f>
        <v>76329-3352-1</v>
      </c>
      <c r="F151" s="189">
        <v>1012410</v>
      </c>
      <c r="G151" s="241">
        <f>INDEX('Pricing (Drugs) SS'!$I:$I,MATCH(F151,'Pricing (Drugs) SS'!$A:$A,0))</f>
        <v>21.64</v>
      </c>
      <c r="H151" s="241">
        <f t="shared" si="12"/>
        <v>0</v>
      </c>
      <c r="I151" s="190">
        <f>VLOOKUP(F151,'Price Sheet'!$A:$C,3,FALSE)</f>
        <v>63.97</v>
      </c>
      <c r="J151" s="191"/>
      <c r="K151" s="192">
        <f t="shared" si="14"/>
        <v>63.97</v>
      </c>
      <c r="L151" s="192">
        <f t="shared" si="15"/>
        <v>0</v>
      </c>
      <c r="M151" s="193" t="str">
        <f t="shared" si="11"/>
        <v/>
      </c>
      <c r="N151" s="194" t="str">
        <f t="shared" si="10"/>
        <v/>
      </c>
      <c r="O151" s="124" t="str">
        <f t="shared" si="13"/>
        <v/>
      </c>
      <c r="P151" s="124" t="str">
        <f>INDEX('Pricing (Drugs) SS'!$C:$C,MATCH(F151,'Pricing (Drugs) SS'!$A:$A,0))</f>
        <v>ACTIVE</v>
      </c>
      <c r="Q151" s="124" t="str">
        <f>IF(AND($L$23="Extra DEA Req",S151="X"),"SAFE- CONTROLLED",INDEX('Pricing (Drugs) SS'!$G:$G,MATCH(F151,'Pricing (Drugs) SS'!$A:$A,0)))</f>
        <v>DRUG ROOM</v>
      </c>
      <c r="R151" s="195" t="str">
        <f>INDEX('Pricing (Drugs) SS'!$H:$H,MATCH(F151,'Pricing (Drugs) SS'!$A:$A,0))</f>
        <v>Not on List</v>
      </c>
      <c r="S151" s="195" t="str">
        <f>IF(COUNTIFS('Version and Lists'!$F:$F,F151,'Version and Lists'!$G:$G,$M$22)&gt;0,"X","")</f>
        <v/>
      </c>
    </row>
    <row r="152" spans="1:19" ht="18.75" x14ac:dyDescent="0.3">
      <c r="A152" s="185">
        <f>INDEX('Cart Formulary Calculator'!$A$12:$A$433,MATCH(F152,'Cart Formulary Calculator'!$F$12:$F$433,0))</f>
        <v>0</v>
      </c>
      <c r="B152" s="186" t="str">
        <f>INDEX('Pricing (Drugs) SS'!$B:$B,MATCH(F152,'Pricing (Drugs) SS'!$A:$A,0))</f>
        <v>0.9% SODIUM CHLORIDE INJECTION USP ZR(TM) 10mL SYR</v>
      </c>
      <c r="C152" s="187">
        <f>INDEX('Pricing (Drugs) SS'!$E:$E,MATCH(F152,'Pricing (Drugs) SS'!$A:$A,0))</f>
        <v>8.9999999999999993E-3</v>
      </c>
      <c r="D152" s="188" t="str">
        <f>INDEX('Pricing (Drugs) SS'!$F:$F,MATCH(F152,'Pricing (Drugs) SS'!$A:$A,0))</f>
        <v>10mL</v>
      </c>
      <c r="E152" s="188" t="str">
        <f>INDEX('Pricing (Drugs) SS'!$D:$D,MATCH(F152,'Pricing (Drugs) SS'!$A:$A,0))</f>
        <v>63807-0100-10</v>
      </c>
      <c r="F152" s="189">
        <v>1009330</v>
      </c>
      <c r="G152" s="241">
        <f>INDEX('Pricing (Drugs) SS'!$I:$I,MATCH(F152,'Pricing (Drugs) SS'!$A:$A,0))</f>
        <v>0.47570000000000001</v>
      </c>
      <c r="H152" s="241">
        <f t="shared" si="12"/>
        <v>0</v>
      </c>
      <c r="I152" s="190">
        <f>VLOOKUP(F152,'Price Sheet'!$A:$C,3,FALSE)</f>
        <v>3.67</v>
      </c>
      <c r="J152" s="191"/>
      <c r="K152" s="192">
        <f t="shared" si="14"/>
        <v>3.67</v>
      </c>
      <c r="L152" s="192">
        <f t="shared" si="15"/>
        <v>0</v>
      </c>
      <c r="M152" s="193" t="str">
        <f t="shared" si="11"/>
        <v/>
      </c>
      <c r="N152" s="194" t="str">
        <f t="shared" si="10"/>
        <v/>
      </c>
      <c r="O152" s="124" t="str">
        <f t="shared" si="13"/>
        <v/>
      </c>
      <c r="P152" s="124" t="str">
        <f>INDEX('Pricing (Drugs) SS'!$C:$C,MATCH(F152,'Pricing (Drugs) SS'!$A:$A,0))</f>
        <v>ACTIVE</v>
      </c>
      <c r="Q152" s="124" t="str">
        <f>IF(AND($L$23="Extra DEA Req",S152="X"),"SAFE- CONTROLLED",INDEX('Pricing (Drugs) SS'!$G:$G,MATCH(F152,'Pricing (Drugs) SS'!$A:$A,0)))</f>
        <v>DRUG ROOM</v>
      </c>
      <c r="R152" s="195" t="str">
        <f>INDEX('Pricing (Drugs) SS'!$H:$H,MATCH(F152,'Pricing (Drugs) SS'!$A:$A,0))</f>
        <v>Not on List</v>
      </c>
      <c r="S152" s="195" t="str">
        <f>IF(COUNTIFS('Version and Lists'!$F:$F,F152,'Version and Lists'!$G:$G,$M$22)&gt;0,"X","")</f>
        <v/>
      </c>
    </row>
    <row r="153" spans="1:19" ht="18.75" x14ac:dyDescent="0.3">
      <c r="A153" s="185">
        <f>INDEX('Cart Formulary Calculator'!$A$12:$A$433,MATCH(F153,'Cart Formulary Calculator'!$F$12:$F$433,0))</f>
        <v>0</v>
      </c>
      <c r="B153" s="186" t="str">
        <f>INDEX('Pricing (Drugs) SS'!$B:$B,MATCH(F153,'Pricing (Drugs) SS'!$A:$A,0))</f>
        <v>0.9% SODIUM CHLORIDE INJECTION, USP 100mL BAG</v>
      </c>
      <c r="C153" s="187" t="str">
        <f>INDEX('Pricing (Drugs) SS'!$E:$E,MATCH(F153,'Pricing (Drugs) SS'!$A:$A,0))</f>
        <v>0.9% PER 100mL</v>
      </c>
      <c r="D153" s="188" t="str">
        <f>INDEX('Pricing (Drugs) SS'!$F:$F,MATCH(F153,'Pricing (Drugs) SS'!$A:$A,0))</f>
        <v>100mL</v>
      </c>
      <c r="E153" s="188" t="str">
        <f>INDEX('Pricing (Drugs) SS'!$D:$D,MATCH(F153,'Pricing (Drugs) SS'!$A:$A,0))</f>
        <v>0990-7984-23</v>
      </c>
      <c r="F153" s="189">
        <v>1014200</v>
      </c>
      <c r="G153" s="241">
        <f>INDEX('Pricing (Drugs) SS'!$I:$I,MATCH(F153,'Pricing (Drugs) SS'!$A:$A,0))</f>
        <v>2.31</v>
      </c>
      <c r="H153" s="241">
        <f t="shared" si="12"/>
        <v>0</v>
      </c>
      <c r="I153" s="190">
        <f>VLOOKUP(F153,'Price Sheet'!$A:$C,3,FALSE)</f>
        <v>9.16</v>
      </c>
      <c r="J153" s="191"/>
      <c r="K153" s="192">
        <f t="shared" si="14"/>
        <v>9.16</v>
      </c>
      <c r="L153" s="192">
        <f t="shared" si="15"/>
        <v>0</v>
      </c>
      <c r="M153" s="193" t="str">
        <f t="shared" si="11"/>
        <v/>
      </c>
      <c r="N153" s="194" t="str">
        <f t="shared" si="10"/>
        <v/>
      </c>
      <c r="O153" s="124" t="str">
        <f t="shared" si="13"/>
        <v/>
      </c>
      <c r="P153" s="124" t="str">
        <f>INDEX('Pricing (Drugs) SS'!$C:$C,MATCH(F153,'Pricing (Drugs) SS'!$A:$A,0))</f>
        <v>ACTIVE</v>
      </c>
      <c r="Q153" s="124" t="str">
        <f>IF(AND($L$23="Extra DEA Req",S153="X"),"SAFE- CONTROLLED",INDEX('Pricing (Drugs) SS'!$G:$G,MATCH(F153,'Pricing (Drugs) SS'!$A:$A,0)))</f>
        <v>DRUG ROOM</v>
      </c>
      <c r="R153" s="195" t="str">
        <f>INDEX('Pricing (Drugs) SS'!$H:$H,MATCH(F153,'Pricing (Drugs) SS'!$A:$A,0))</f>
        <v>Not on List</v>
      </c>
      <c r="S153" s="195" t="str">
        <f>IF(COUNTIFS('Version and Lists'!$F:$F,F153,'Version and Lists'!$G:$G,$M$22)&gt;0,"X","")</f>
        <v/>
      </c>
    </row>
    <row r="154" spans="1:19" ht="18.75" x14ac:dyDescent="0.3">
      <c r="A154" s="185">
        <f>INDEX('Cart Formulary Calculator'!$A$12:$A$433,MATCH(F154,'Cart Formulary Calculator'!$F$12:$F$433,0))</f>
        <v>0</v>
      </c>
      <c r="B154" s="186" t="str">
        <f>INDEX('Pricing (Drugs) SS'!$B:$B,MATCH(F154,'Pricing (Drugs) SS'!$A:$A,0))</f>
        <v>0.9% SODIUM CHLORIDE INJECTION, USP 250mL BAG</v>
      </c>
      <c r="C154" s="187">
        <f>INDEX('Pricing (Drugs) SS'!$E:$E,MATCH(F154,'Pricing (Drugs) SS'!$A:$A,0))</f>
        <v>8.9999999999999993E-3</v>
      </c>
      <c r="D154" s="188" t="str">
        <f>INDEX('Pricing (Drugs) SS'!$F:$F,MATCH(F154,'Pricing (Drugs) SS'!$A:$A,0))</f>
        <v>250mL</v>
      </c>
      <c r="E154" s="188" t="str">
        <f>INDEX('Pricing (Drugs) SS'!$D:$D,MATCH(F154,'Pricing (Drugs) SS'!$A:$A,0))</f>
        <v>0990-7983-02</v>
      </c>
      <c r="F154" s="189">
        <v>1013880</v>
      </c>
      <c r="G154" s="241">
        <f>INDEX('Pricing (Drugs) SS'!$I:$I,MATCH(F154,'Pricing (Drugs) SS'!$A:$A,0))</f>
        <v>2.75</v>
      </c>
      <c r="H154" s="241">
        <f t="shared" si="12"/>
        <v>0</v>
      </c>
      <c r="I154" s="190">
        <f>VLOOKUP(F154,'Price Sheet'!$A:$C,3,FALSE)</f>
        <v>17.95</v>
      </c>
      <c r="J154" s="191"/>
      <c r="K154" s="192">
        <f t="shared" si="14"/>
        <v>17.95</v>
      </c>
      <c r="L154" s="192">
        <f t="shared" si="15"/>
        <v>0</v>
      </c>
      <c r="M154" s="193" t="str">
        <f t="shared" si="11"/>
        <v/>
      </c>
      <c r="N154" s="194" t="str">
        <f t="shared" si="10"/>
        <v/>
      </c>
      <c r="O154" s="124" t="str">
        <f t="shared" si="13"/>
        <v/>
      </c>
      <c r="P154" s="124" t="str">
        <f>INDEX('Pricing (Drugs) SS'!$C:$C,MATCH(F154,'Pricing (Drugs) SS'!$A:$A,0))</f>
        <v>ACTIVE</v>
      </c>
      <c r="Q154" s="124" t="str">
        <f>IF(AND($L$23="Extra DEA Req",S154="X"),"SAFE- CONTROLLED",INDEX('Pricing (Drugs) SS'!$G:$G,MATCH(F154,'Pricing (Drugs) SS'!$A:$A,0)))</f>
        <v>DRUG ROOM</v>
      </c>
      <c r="R154" s="195" t="str">
        <f>INDEX('Pricing (Drugs) SS'!$H:$H,MATCH(F154,'Pricing (Drugs) SS'!$A:$A,0))</f>
        <v>Not on List</v>
      </c>
      <c r="S154" s="195" t="str">
        <f>IF(COUNTIFS('Version and Lists'!$F:$F,F154,'Version and Lists'!$G:$G,$M$22)&gt;0,"X","")</f>
        <v/>
      </c>
    </row>
    <row r="155" spans="1:19" ht="18.75" x14ac:dyDescent="0.3">
      <c r="A155" s="185">
        <f>INDEX('Cart Formulary Calculator'!$A$12:$A$433,MATCH(F155,'Cart Formulary Calculator'!$F$12:$F$433,0))</f>
        <v>0</v>
      </c>
      <c r="B155" s="186" t="str">
        <f>INDEX('Pricing (Drugs) SS'!$B:$B,MATCH(F155,'Pricing (Drugs) SS'!$A:$A,0))</f>
        <v>0.9% SODIUM CHLORIDE INJECTION, USP 500mL BAG</v>
      </c>
      <c r="C155" s="187" t="str">
        <f>INDEX('Pricing (Drugs) SS'!$E:$E,MATCH(F155,'Pricing (Drugs) SS'!$A:$A,0))</f>
        <v>0.9% 500mL</v>
      </c>
      <c r="D155" s="188" t="str">
        <f>INDEX('Pricing (Drugs) SS'!$F:$F,MATCH(F155,'Pricing (Drugs) SS'!$A:$A,0))</f>
        <v>500mL</v>
      </c>
      <c r="E155" s="188" t="str">
        <f>INDEX('Pricing (Drugs) SS'!$D:$D,MATCH(F155,'Pricing (Drugs) SS'!$A:$A,0))</f>
        <v>0990-7983-55</v>
      </c>
      <c r="F155" s="189">
        <v>1014510</v>
      </c>
      <c r="G155" s="241">
        <f>INDEX('Pricing (Drugs) SS'!$I:$I,MATCH(F155,'Pricing (Drugs) SS'!$A:$A,0))</f>
        <v>4.67</v>
      </c>
      <c r="H155" s="241">
        <f t="shared" si="12"/>
        <v>0</v>
      </c>
      <c r="I155" s="190">
        <f>VLOOKUP(F155,'Price Sheet'!$A:$C,3,FALSE)</f>
        <v>24.95</v>
      </c>
      <c r="J155" s="191"/>
      <c r="K155" s="192">
        <f t="shared" si="14"/>
        <v>24.95</v>
      </c>
      <c r="L155" s="192">
        <f t="shared" si="15"/>
        <v>0</v>
      </c>
      <c r="M155" s="193" t="str">
        <f t="shared" si="11"/>
        <v/>
      </c>
      <c r="N155" s="194" t="str">
        <f t="shared" si="10"/>
        <v/>
      </c>
      <c r="O155" s="124" t="str">
        <f t="shared" si="13"/>
        <v/>
      </c>
      <c r="P155" s="124" t="str">
        <f>INDEX('Pricing (Drugs) SS'!$C:$C,MATCH(F155,'Pricing (Drugs) SS'!$A:$A,0))</f>
        <v>ACTIVE</v>
      </c>
      <c r="Q155" s="124" t="str">
        <f>IF(AND($L$23="Extra DEA Req",S155="X"),"SAFE- CONTROLLED",INDEX('Pricing (Drugs) SS'!$G:$G,MATCH(F155,'Pricing (Drugs) SS'!$A:$A,0)))</f>
        <v>DRUG ROOM</v>
      </c>
      <c r="R155" s="195" t="str">
        <f>INDEX('Pricing (Drugs) SS'!$H:$H,MATCH(F155,'Pricing (Drugs) SS'!$A:$A,0))</f>
        <v>Not on List</v>
      </c>
      <c r="S155" s="195" t="str">
        <f>IF(COUNTIFS('Version and Lists'!$F:$F,F155,'Version and Lists'!$G:$G,$M$22)&gt;0,"X","")</f>
        <v/>
      </c>
    </row>
    <row r="156" spans="1:19" ht="18.75" x14ac:dyDescent="0.3">
      <c r="A156" s="185">
        <f>INDEX('Cart Formulary Calculator'!$A$12:$A$433,MATCH(F156,'Cart Formulary Calculator'!$F$12:$F$433,0))</f>
        <v>0</v>
      </c>
      <c r="B156" s="186" t="str">
        <f>INDEX('Pricing (Drugs) SS'!$B:$B,MATCH(F156,'Pricing (Drugs) SS'!$A:$A,0))</f>
        <v>0.9% SODIUM CHLORIDE INJECTION, USP 1000mL BAG</v>
      </c>
      <c r="C156" s="187">
        <f>INDEX('Pricing (Drugs) SS'!$E:$E,MATCH(F156,'Pricing (Drugs) SS'!$A:$A,0))</f>
        <v>8.9999999999999993E-3</v>
      </c>
      <c r="D156" s="188" t="str">
        <f>INDEX('Pricing (Drugs) SS'!$F:$F,MATCH(F156,'Pricing (Drugs) SS'!$A:$A,0))</f>
        <v>1000mL</v>
      </c>
      <c r="E156" s="188" t="str">
        <f>INDEX('Pricing (Drugs) SS'!$D:$D,MATCH(F156,'Pricing (Drugs) SS'!$A:$A,0))</f>
        <v>0990-7983-09</v>
      </c>
      <c r="F156" s="189">
        <v>1013890</v>
      </c>
      <c r="G156" s="241">
        <f>INDEX('Pricing (Drugs) SS'!$I:$I,MATCH(F156,'Pricing (Drugs) SS'!$A:$A,0))</f>
        <v>3.25</v>
      </c>
      <c r="H156" s="241">
        <f t="shared" si="12"/>
        <v>0</v>
      </c>
      <c r="I156" s="190">
        <f>VLOOKUP(F156,'Price Sheet'!$A:$C,3,FALSE)</f>
        <v>21.95</v>
      </c>
      <c r="J156" s="191"/>
      <c r="K156" s="192">
        <f t="shared" ref="K156:K168" si="16">J156+I156</f>
        <v>21.95</v>
      </c>
      <c r="L156" s="192">
        <f t="shared" ref="L156:L168" si="17">IFERROR(K156*A156,"")</f>
        <v>0</v>
      </c>
      <c r="M156" s="193" t="str">
        <f t="shared" si="11"/>
        <v/>
      </c>
      <c r="N156" s="194" t="str">
        <f t="shared" si="10"/>
        <v/>
      </c>
      <c r="O156" s="124" t="str">
        <f t="shared" si="13"/>
        <v/>
      </c>
      <c r="P156" s="124" t="str">
        <f>INDEX('Pricing (Drugs) SS'!$C:$C,MATCH(F156,'Pricing (Drugs) SS'!$A:$A,0))</f>
        <v>ACTIVE</v>
      </c>
      <c r="Q156" s="124" t="str">
        <f>IF(AND($L$23="Extra DEA Req",S156="X"),"SAFE- CONTROLLED",INDEX('Pricing (Drugs) SS'!$G:$G,MATCH(F156,'Pricing (Drugs) SS'!$A:$A,0)))</f>
        <v>DRUG ROOM</v>
      </c>
      <c r="R156" s="195" t="str">
        <f>INDEX('Pricing (Drugs) SS'!$H:$H,MATCH(F156,'Pricing (Drugs) SS'!$A:$A,0))</f>
        <v>Not on List</v>
      </c>
      <c r="S156" s="195" t="str">
        <f>IF(COUNTIFS('Version and Lists'!$F:$F,F156,'Version and Lists'!$G:$G,$M$22)&gt;0,"X","")</f>
        <v/>
      </c>
    </row>
    <row r="157" spans="1:19" ht="18.75" x14ac:dyDescent="0.3">
      <c r="A157" s="185">
        <f>INDEX('Cart Formulary Calculator'!$A$12:$A$433,MATCH(F157,'Cart Formulary Calculator'!$F$12:$F$433,0))</f>
        <v>0</v>
      </c>
      <c r="B157" s="186" t="str">
        <f>INDEX('Pricing (Drugs) SS'!$B:$B,MATCH(F157,'Pricing (Drugs) SS'!$A:$A,0))</f>
        <v>SUCCINYLCHOLINE CHLORIDE INJECTION, USP 200mg/10mL (20mg/mL) 10mL VIAL</v>
      </c>
      <c r="C157" s="187" t="str">
        <f>INDEX('Pricing (Drugs) SS'!$E:$E,MATCH(F157,'Pricing (Drugs) SS'!$A:$A,0))</f>
        <v>20mg/mL</v>
      </c>
      <c r="D157" s="188" t="str">
        <f>INDEX('Pricing (Drugs) SS'!$F:$F,MATCH(F157,'Pricing (Drugs) SS'!$A:$A,0))</f>
        <v>10mL</v>
      </c>
      <c r="E157" s="188" t="str">
        <f>INDEX('Pricing (Drugs) SS'!$D:$D,MATCH(F157,'Pricing (Drugs) SS'!$A:$A,0))</f>
        <v>43598-666-25</v>
      </c>
      <c r="F157" s="189">
        <v>1015360</v>
      </c>
      <c r="G157" s="241">
        <f>INDEX('Pricing (Drugs) SS'!$I:$I,MATCH(F157,'Pricing (Drugs) SS'!$A:$A,0))</f>
        <v>3.5731999999999999</v>
      </c>
      <c r="H157" s="241">
        <f t="shared" si="12"/>
        <v>0</v>
      </c>
      <c r="I157" s="190">
        <f>VLOOKUP(F157,'Price Sheet'!$A:$C,3,FALSE)</f>
        <v>75.989999999999995</v>
      </c>
      <c r="J157" s="191"/>
      <c r="K157" s="192">
        <f t="shared" si="16"/>
        <v>75.989999999999995</v>
      </c>
      <c r="L157" s="192">
        <f t="shared" si="17"/>
        <v>0</v>
      </c>
      <c r="M157" s="193" t="str">
        <f t="shared" si="11"/>
        <v>C</v>
      </c>
      <c r="N157" s="194" t="str">
        <f t="shared" si="10"/>
        <v>X</v>
      </c>
      <c r="O157" s="124" t="str">
        <f t="shared" si="13"/>
        <v/>
      </c>
      <c r="P157" s="124" t="str">
        <f>INDEX('Pricing (Drugs) SS'!$C:$C,MATCH(F157,'Pricing (Drugs) SS'!$A:$A,0))</f>
        <v>RESTRICTED</v>
      </c>
      <c r="Q157" s="124" t="str">
        <f>IF(AND($L$23="Extra DEA Req",S157="X"),"SAFE- CONTROLLED",INDEX('Pricing (Drugs) SS'!$G:$G,MATCH(F157,'Pricing (Drugs) SS'!$A:$A,0)))</f>
        <v>REFRIGERATED</v>
      </c>
      <c r="R157" s="195" t="str">
        <f>INDEX('Pricing (Drugs) SS'!$H:$H,MATCH(F157,'Pricing (Drugs) SS'!$A:$A,0))</f>
        <v>Lethal Injection Drug</v>
      </c>
      <c r="S157" s="195" t="str">
        <f>IF(COUNTIFS('Version and Lists'!$F:$F,F157,'Version and Lists'!$G:$G,$M$22)&gt;0,"X","")</f>
        <v/>
      </c>
    </row>
    <row r="158" spans="1:19" ht="18.75" x14ac:dyDescent="0.3">
      <c r="A158" s="185">
        <f>INDEX('Cart Formulary Calculator'!$A$12:$A$433,MATCH(F158,'Cart Formulary Calculator'!$F$12:$F$433,0))</f>
        <v>0</v>
      </c>
      <c r="B158" s="186" t="str">
        <f>INDEX('Pricing (Drugs) SS'!$B:$B,MATCH(F158,'Pricing (Drugs) SS'!$A:$A,0))</f>
        <v>ROCURONIUM BROMIDE INJECTION, 50mg PER 5mL (10mg/mL) 5mL VIAL</v>
      </c>
      <c r="C158" s="187" t="str">
        <f>INDEX('Pricing (Drugs) SS'!$E:$E,MATCH(F158,'Pricing (Drugs) SS'!$A:$A,0))</f>
        <v>10mg/mL</v>
      </c>
      <c r="D158" s="188" t="str">
        <f>INDEX('Pricing (Drugs) SS'!$F:$F,MATCH(F158,'Pricing (Drugs) SS'!$A:$A,0))</f>
        <v>5mL</v>
      </c>
      <c r="E158" s="188" t="str">
        <f>INDEX('Pricing (Drugs) SS'!$D:$D,MATCH(F158,'Pricing (Drugs) SS'!$A:$A,0))</f>
        <v>55150-225-05</v>
      </c>
      <c r="F158" s="189">
        <v>1016210</v>
      </c>
      <c r="G158" s="241">
        <f>INDEX('Pricing (Drugs) SS'!$I:$I,MATCH(F158,'Pricing (Drugs) SS'!$A:$A,0))</f>
        <v>1.6</v>
      </c>
      <c r="H158" s="241">
        <f t="shared" si="12"/>
        <v>0</v>
      </c>
      <c r="I158" s="190">
        <f>VLOOKUP(F158,'Price Sheet'!$A:$C,3,FALSE)</f>
        <v>29.99</v>
      </c>
      <c r="J158" s="191"/>
      <c r="K158" s="192">
        <f t="shared" si="16"/>
        <v>29.99</v>
      </c>
      <c r="L158" s="192">
        <f t="shared" si="17"/>
        <v>0</v>
      </c>
      <c r="M158" s="193" t="str">
        <f t="shared" si="11"/>
        <v>C</v>
      </c>
      <c r="N158" s="194" t="str">
        <f t="shared" si="10"/>
        <v>X</v>
      </c>
      <c r="O158" s="124" t="str">
        <f t="shared" si="13"/>
        <v/>
      </c>
      <c r="P158" s="124" t="str">
        <f>INDEX('Pricing (Drugs) SS'!$C:$C,MATCH(F158,'Pricing (Drugs) SS'!$A:$A,0))</f>
        <v>RESTRICTED</v>
      </c>
      <c r="Q158" s="124" t="str">
        <f>IF(AND($L$23="Extra DEA Req",S158="X"),"SAFE- CONTROLLED",INDEX('Pricing (Drugs) SS'!$G:$G,MATCH(F158,'Pricing (Drugs) SS'!$A:$A,0)))</f>
        <v>REFRIGERATED</v>
      </c>
      <c r="R158" s="195" t="str">
        <f>INDEX('Pricing (Drugs) SS'!$H:$H,MATCH(F158,'Pricing (Drugs) SS'!$A:$A,0))</f>
        <v>Lethal Injection Drug</v>
      </c>
      <c r="S158" s="195" t="str">
        <f>IF(COUNTIFS('Version and Lists'!$F:$F,F158,'Version and Lists'!$G:$G,$M$22)&gt;0,"X","")</f>
        <v/>
      </c>
    </row>
    <row r="159" spans="1:19" ht="18.75" x14ac:dyDescent="0.3">
      <c r="A159" s="185">
        <f>INDEX('Cart Formulary Calculator'!$A$12:$A$433,MATCH(F159,'Cart Formulary Calculator'!$F$12:$F$433,0))</f>
        <v>0</v>
      </c>
      <c r="B159" s="186" t="str">
        <f>INDEX('Pricing (Drugs) SS'!$B:$B,MATCH(F159,'Pricing (Drugs) SS'!$A:$A,0))</f>
        <v>ROCURONIUM BROMIDE INJECTION 100mg PER 10mL (10mg/mL) 10mL VIAL</v>
      </c>
      <c r="C159" s="187" t="str">
        <f>INDEX('Pricing (Drugs) SS'!$E:$E,MATCH(F159,'Pricing (Drugs) SS'!$A:$A,0))</f>
        <v>10mg/mL</v>
      </c>
      <c r="D159" s="188" t="str">
        <f>INDEX('Pricing (Drugs) SS'!$F:$F,MATCH(F159,'Pricing (Drugs) SS'!$A:$A,0))</f>
        <v>10mL</v>
      </c>
      <c r="E159" s="188" t="str">
        <f>INDEX('Pricing (Drugs) SS'!$D:$D,MATCH(F159,'Pricing (Drugs) SS'!$A:$A,0))</f>
        <v>55150-226-10</v>
      </c>
      <c r="F159" s="189">
        <v>1016200</v>
      </c>
      <c r="G159" s="241">
        <f>INDEX('Pricing (Drugs) SS'!$I:$I,MATCH(F159,'Pricing (Drugs) SS'!$A:$A,0))</f>
        <v>3.3</v>
      </c>
      <c r="H159" s="241">
        <f t="shared" si="12"/>
        <v>0</v>
      </c>
      <c r="I159" s="190">
        <f>VLOOKUP(F159,'Price Sheet'!$A:$C,3,FALSE)</f>
        <v>39.99</v>
      </c>
      <c r="J159" s="191"/>
      <c r="K159" s="192">
        <f t="shared" si="16"/>
        <v>39.99</v>
      </c>
      <c r="L159" s="192">
        <f t="shared" si="17"/>
        <v>0</v>
      </c>
      <c r="M159" s="193" t="str">
        <f t="shared" si="11"/>
        <v>C</v>
      </c>
      <c r="N159" s="194" t="str">
        <f t="shared" si="10"/>
        <v>X</v>
      </c>
      <c r="O159" s="124" t="str">
        <f t="shared" si="13"/>
        <v/>
      </c>
      <c r="P159" s="124" t="str">
        <f>INDEX('Pricing (Drugs) SS'!$C:$C,MATCH(F159,'Pricing (Drugs) SS'!$A:$A,0))</f>
        <v>RESTRICTED</v>
      </c>
      <c r="Q159" s="124" t="str">
        <f>IF(AND($L$23="Extra DEA Req",S159="X"),"SAFE- CONTROLLED",INDEX('Pricing (Drugs) SS'!$G:$G,MATCH(F159,'Pricing (Drugs) SS'!$A:$A,0)))</f>
        <v>REFRIGERATED</v>
      </c>
      <c r="R159" s="195" t="str">
        <f>INDEX('Pricing (Drugs) SS'!$H:$H,MATCH(F159,'Pricing (Drugs) SS'!$A:$A,0))</f>
        <v>Lethal Injection Drug</v>
      </c>
      <c r="S159" s="195" t="str">
        <f>IF(COUNTIFS('Version and Lists'!$F:$F,F159,'Version and Lists'!$G:$G,$M$22)&gt;0,"X","")</f>
        <v/>
      </c>
    </row>
    <row r="160" spans="1:19" ht="18.75" x14ac:dyDescent="0.3">
      <c r="A160" s="185">
        <f>INDEX('Cart Formulary Calculator'!$A$12:$A$433,MATCH(F160,'Cart Formulary Calculator'!$F$12:$F$433,0))</f>
        <v>0</v>
      </c>
      <c r="B160" s="186" t="str">
        <f>INDEX('Pricing (Drugs) SS'!$B:$B,MATCH(F160,'Pricing (Drugs) SS'!$A:$A,0))</f>
        <v>VECURONIUM BROMIDE FOR INJECTION 10mg 1mg/mL 10mL VIAL</v>
      </c>
      <c r="C160" s="187" t="str">
        <f>INDEX('Pricing (Drugs) SS'!$E:$E,MATCH(F160,'Pricing (Drugs) SS'!$A:$A,0))</f>
        <v>1mg/mL</v>
      </c>
      <c r="D160" s="188" t="str">
        <f>INDEX('Pricing (Drugs) SS'!$F:$F,MATCH(F160,'Pricing (Drugs) SS'!$A:$A,0))</f>
        <v>10mL</v>
      </c>
      <c r="E160" s="188" t="str">
        <f>INDEX('Pricing (Drugs) SS'!$D:$D,MATCH(F160,'Pricing (Drugs) SS'!$A:$A,0))</f>
        <v>0409-1632-01</v>
      </c>
      <c r="F160" s="189">
        <v>1012950</v>
      </c>
      <c r="G160" s="241">
        <f>INDEX('Pricing (Drugs) SS'!$I:$I,MATCH(F160,'Pricing (Drugs) SS'!$A:$A,0))</f>
        <v>7.3390000000000004</v>
      </c>
      <c r="H160" s="241">
        <f t="shared" si="12"/>
        <v>0</v>
      </c>
      <c r="I160" s="190">
        <f>VLOOKUP(F160,'Price Sheet'!$A:$C,3,FALSE)</f>
        <v>59.99</v>
      </c>
      <c r="J160" s="191"/>
      <c r="K160" s="192">
        <f t="shared" si="16"/>
        <v>59.99</v>
      </c>
      <c r="L160" s="192">
        <f t="shared" si="17"/>
        <v>0</v>
      </c>
      <c r="M160" s="193" t="str">
        <f t="shared" si="11"/>
        <v/>
      </c>
      <c r="N160" s="194" t="str">
        <f t="shared" si="10"/>
        <v>X</v>
      </c>
      <c r="O160" s="124" t="str">
        <f t="shared" si="13"/>
        <v/>
      </c>
      <c r="P160" s="124" t="str">
        <f>INDEX('Pricing (Drugs) SS'!$C:$C,MATCH(F160,'Pricing (Drugs) SS'!$A:$A,0))</f>
        <v>RESTRICTED</v>
      </c>
      <c r="Q160" s="124" t="str">
        <f>IF(AND($L$23="Extra DEA Req",S160="X"),"SAFE- CONTROLLED",INDEX('Pricing (Drugs) SS'!$G:$G,MATCH(F160,'Pricing (Drugs) SS'!$A:$A,0)))</f>
        <v>DRUG ROOM</v>
      </c>
      <c r="R160" s="195" t="str">
        <f>INDEX('Pricing (Drugs) SS'!$H:$H,MATCH(F160,'Pricing (Drugs) SS'!$A:$A,0))</f>
        <v>Lethal Injection Drug</v>
      </c>
      <c r="S160" s="195" t="str">
        <f>IF(COUNTIFS('Version and Lists'!$F:$F,F160,'Version and Lists'!$G:$G,$M$22)&gt;0,"X","")</f>
        <v/>
      </c>
    </row>
    <row r="161" spans="1:19" ht="18.75" x14ac:dyDescent="0.3">
      <c r="A161" s="185">
        <f>INDEX('Cart Formulary Calculator'!$A$12:$A$433,MATCH(F161,'Cart Formulary Calculator'!$F$12:$F$433,0))</f>
        <v>0</v>
      </c>
      <c r="B161" s="186" t="str">
        <f>INDEX('Pricing (Drugs) SS'!$B:$B,MATCH(F161,'Pricing (Drugs) SS'!$A:$A,0))</f>
        <v>VECURONIUM BROMIDE FOR INJECTION, 10mg PER VIAL* 10mL VIAL</v>
      </c>
      <c r="C161" s="187" t="str">
        <f>INDEX('Pricing (Drugs) SS'!$E:$E,MATCH(F161,'Pricing (Drugs) SS'!$A:$A,0))</f>
        <v>1mg/mL</v>
      </c>
      <c r="D161" s="188" t="str">
        <f>INDEX('Pricing (Drugs) SS'!$F:$F,MATCH(F161,'Pricing (Drugs) SS'!$A:$A,0))</f>
        <v>10mL</v>
      </c>
      <c r="E161" s="188" t="str">
        <f>INDEX('Pricing (Drugs) SS'!$D:$D,MATCH(F161,'Pricing (Drugs) SS'!$A:$A,0))</f>
        <v>55150-235-10</v>
      </c>
      <c r="F161" s="189">
        <v>1016220</v>
      </c>
      <c r="G161" s="241">
        <f>INDEX('Pricing (Drugs) SS'!$I:$I,MATCH(F161,'Pricing (Drugs) SS'!$A:$A,0))</f>
        <v>2.4900000000000002</v>
      </c>
      <c r="H161" s="241">
        <f t="shared" si="12"/>
        <v>0</v>
      </c>
      <c r="I161" s="190">
        <f>VLOOKUP(F161,'Price Sheet'!$A:$C,3,FALSE)</f>
        <v>59.99</v>
      </c>
      <c r="J161" s="191"/>
      <c r="K161" s="192">
        <f t="shared" si="16"/>
        <v>59.99</v>
      </c>
      <c r="L161" s="192">
        <f t="shared" si="17"/>
        <v>0</v>
      </c>
      <c r="M161" s="193" t="str">
        <f t="shared" si="11"/>
        <v/>
      </c>
      <c r="N161" s="194" t="str">
        <f t="shared" ref="N161:N168" si="18">IF(R161&lt;&gt;"Not on List","X","")</f>
        <v>X</v>
      </c>
      <c r="O161" s="124" t="str">
        <f t="shared" si="13"/>
        <v/>
      </c>
      <c r="P161" s="124" t="str">
        <f>INDEX('Pricing (Drugs) SS'!$C:$C,MATCH(F161,'Pricing (Drugs) SS'!$A:$A,0))</f>
        <v>RESTRICTED</v>
      </c>
      <c r="Q161" s="124" t="str">
        <f>IF(AND($L$23="Extra DEA Req",S161="X"),"SAFE- CONTROLLED",INDEX('Pricing (Drugs) SS'!$G:$G,MATCH(F161,'Pricing (Drugs) SS'!$A:$A,0)))</f>
        <v>DRUG ROOM</v>
      </c>
      <c r="R161" s="195" t="str">
        <f>INDEX('Pricing (Drugs) SS'!$H:$H,MATCH(F161,'Pricing (Drugs) SS'!$A:$A,0))</f>
        <v>Lethal Injection Drug</v>
      </c>
      <c r="S161" s="195" t="str">
        <f>IF(COUNTIFS('Version and Lists'!$F:$F,F161,'Version and Lists'!$G:$G,$M$22)&gt;0,"X","")</f>
        <v/>
      </c>
    </row>
    <row r="162" spans="1:19" ht="18.75" x14ac:dyDescent="0.3">
      <c r="A162" s="185">
        <f>INDEX('Cart Formulary Calculator'!$A$12:$A$433,MATCH(F162,'Cart Formulary Calculator'!$F$12:$F$433,0))</f>
        <v>0</v>
      </c>
      <c r="B162" s="186" t="str">
        <f>INDEX('Pricing (Drugs) SS'!$B:$B,MATCH(F162,'Pricing (Drugs) SS'!$A:$A,0))</f>
        <v>TRANEXAMIC ACID INJECTION 1000mg PER 10mL (100mg/mL) 10mL VIAL</v>
      </c>
      <c r="C162" s="187" t="str">
        <f>INDEX('Pricing (Drugs) SS'!$E:$E,MATCH(F162,'Pricing (Drugs) SS'!$A:$A,0))</f>
        <v>100mg/mL</v>
      </c>
      <c r="D162" s="188" t="str">
        <f>INDEX('Pricing (Drugs) SS'!$F:$F,MATCH(F162,'Pricing (Drugs) SS'!$A:$A,0))</f>
        <v>10mL</v>
      </c>
      <c r="E162" s="188" t="str">
        <f>INDEX('Pricing (Drugs) SS'!$D:$D,MATCH(F162,'Pricing (Drugs) SS'!$A:$A,0))</f>
        <v>55150-188-10</v>
      </c>
      <c r="F162" s="189">
        <v>1015840</v>
      </c>
      <c r="G162" s="241">
        <f>INDEX('Pricing (Drugs) SS'!$I:$I,MATCH(F162,'Pricing (Drugs) SS'!$A:$A,0))</f>
        <v>1.7050000000000001</v>
      </c>
      <c r="H162" s="241">
        <f t="shared" si="12"/>
        <v>0</v>
      </c>
      <c r="I162" s="190">
        <f>VLOOKUP(F162,'Price Sheet'!$A:$C,3,FALSE)</f>
        <v>19.95</v>
      </c>
      <c r="J162" s="191"/>
      <c r="K162" s="192">
        <f t="shared" si="16"/>
        <v>19.95</v>
      </c>
      <c r="L162" s="192">
        <f t="shared" si="17"/>
        <v>0</v>
      </c>
      <c r="M162" s="193" t="str">
        <f t="shared" ref="M162:M168" si="19">IF(AND(Q162&lt;&gt;"Drug Room",Q162&lt;&gt;"SAFE- CONTROLLED"),"C","")</f>
        <v/>
      </c>
      <c r="N162" s="194" t="str">
        <f t="shared" si="18"/>
        <v/>
      </c>
      <c r="O162" s="124" t="str">
        <f t="shared" si="13"/>
        <v/>
      </c>
      <c r="P162" s="124" t="str">
        <f>INDEX('Pricing (Drugs) SS'!$C:$C,MATCH(F162,'Pricing (Drugs) SS'!$A:$A,0))</f>
        <v>ACTIVE</v>
      </c>
      <c r="Q162" s="124" t="str">
        <f>IF(AND($L$23="Extra DEA Req",S162="X"),"SAFE- CONTROLLED",INDEX('Pricing (Drugs) SS'!$G:$G,MATCH(F162,'Pricing (Drugs) SS'!$A:$A,0)))</f>
        <v>DRUG ROOM</v>
      </c>
      <c r="R162" s="195" t="str">
        <f>INDEX('Pricing (Drugs) SS'!$H:$H,MATCH(F162,'Pricing (Drugs) SS'!$A:$A,0))</f>
        <v>Not on List</v>
      </c>
      <c r="S162" s="195" t="str">
        <f>IF(COUNTIFS('Version and Lists'!$F:$F,F162,'Version and Lists'!$G:$G,$M$22)&gt;0,"X","")</f>
        <v/>
      </c>
    </row>
    <row r="163" spans="1:19" ht="18.75" x14ac:dyDescent="0.3">
      <c r="A163" s="185">
        <f>INDEX('Cart Formulary Calculator'!$A$12:$A$433,MATCH(F163,'Cart Formulary Calculator'!$F$12:$F$433,0))</f>
        <v>0</v>
      </c>
      <c r="B163" s="186" t="str">
        <f>INDEX('Pricing (Drugs) SS'!$B:$B,MATCH(F163,'Pricing (Drugs) SS'!$A:$A,0))</f>
        <v>VASOSTRICT(TM) (VASOPRESSIN INJECTION, USP) 20 UNITS PER mL 1mL VIAL</v>
      </c>
      <c r="C163" s="187" t="str">
        <f>INDEX('Pricing (Drugs) SS'!$E:$E,MATCH(F163,'Pricing (Drugs) SS'!$A:$A,0))</f>
        <v>20 UNITS PER mL</v>
      </c>
      <c r="D163" s="188" t="str">
        <f>INDEX('Pricing (Drugs) SS'!$F:$F,MATCH(F163,'Pricing (Drugs) SS'!$A:$A,0))</f>
        <v>1mL</v>
      </c>
      <c r="E163" s="188" t="str">
        <f>INDEX('Pricing (Drugs) SS'!$D:$D,MATCH(F163,'Pricing (Drugs) SS'!$A:$A,0))</f>
        <v>42023-0164-25</v>
      </c>
      <c r="F163" s="189">
        <v>1009720</v>
      </c>
      <c r="G163" s="241">
        <f>INDEX('Pricing (Drugs) SS'!$I:$I,MATCH(F163,'Pricing (Drugs) SS'!$A:$A,0))</f>
        <v>9.92</v>
      </c>
      <c r="H163" s="241">
        <f t="shared" ref="H163:H168" si="20">A163*G163</f>
        <v>0</v>
      </c>
      <c r="I163" s="190">
        <f>VLOOKUP(F163,'Price Sheet'!$A:$C,3,FALSE)</f>
        <v>336.99</v>
      </c>
      <c r="J163" s="191"/>
      <c r="K163" s="192">
        <f t="shared" si="16"/>
        <v>336.99</v>
      </c>
      <c r="L163" s="192">
        <f t="shared" si="17"/>
        <v>0</v>
      </c>
      <c r="M163" s="193" t="str">
        <f t="shared" si="19"/>
        <v>C</v>
      </c>
      <c r="N163" s="194" t="str">
        <f t="shared" si="18"/>
        <v/>
      </c>
      <c r="O163" s="124" t="str">
        <f t="shared" ref="O163:O168" si="21">IF(Q163="Safe- Controlled","X","")</f>
        <v/>
      </c>
      <c r="P163" s="124" t="str">
        <f>INDEX('Pricing (Drugs) SS'!$C:$C,MATCH(F163,'Pricing (Drugs) SS'!$A:$A,0))</f>
        <v>ACTIVE</v>
      </c>
      <c r="Q163" s="124" t="str">
        <f>IF(AND($L$23="Extra DEA Req",S163="X"),"SAFE- CONTROLLED",INDEX('Pricing (Drugs) SS'!$G:$G,MATCH(F163,'Pricing (Drugs) SS'!$A:$A,0)))</f>
        <v>REFRIGERATED</v>
      </c>
      <c r="R163" s="195" t="str">
        <f>INDEX('Pricing (Drugs) SS'!$H:$H,MATCH(F163,'Pricing (Drugs) SS'!$A:$A,0))</f>
        <v>Not on List</v>
      </c>
      <c r="S163" s="195" t="str">
        <f>IF(COUNTIFS('Version and Lists'!$F:$F,F163,'Version and Lists'!$G:$G,$M$22)&gt;0,"X","")</f>
        <v/>
      </c>
    </row>
    <row r="164" spans="1:19" ht="18.75" x14ac:dyDescent="0.3">
      <c r="A164" s="185">
        <f>INDEX('Cart Formulary Calculator'!$A$12:$A$433,MATCH(F164,'Cart Formulary Calculator'!$F$12:$F$433,0))</f>
        <v>0</v>
      </c>
      <c r="B164" s="186" t="str">
        <f>INDEX('Pricing (Drugs) SS'!$B:$B,MATCH(F164,'Pricing (Drugs) SS'!$A:$A,0))</f>
        <v>VERAPAMIL HCI INJECTION USP, 5mg PER 2mL (2.5mg/mL) 2mL VIAL</v>
      </c>
      <c r="C164" s="187" t="str">
        <f>INDEX('Pricing (Drugs) SS'!$E:$E,MATCH(F164,'Pricing (Drugs) SS'!$A:$A,0))</f>
        <v>2.5mg/mL</v>
      </c>
      <c r="D164" s="188" t="str">
        <f>INDEX('Pricing (Drugs) SS'!$F:$F,MATCH(F164,'Pricing (Drugs) SS'!$A:$A,0))</f>
        <v>2mL</v>
      </c>
      <c r="E164" s="188" t="str">
        <f>INDEX('Pricing (Drugs) SS'!$D:$D,MATCH(F164,'Pricing (Drugs) SS'!$A:$A,0))</f>
        <v>55150-342-25</v>
      </c>
      <c r="F164" s="189">
        <v>1016240</v>
      </c>
      <c r="G164" s="241">
        <f>INDEX('Pricing (Drugs) SS'!$I:$I,MATCH(F164,'Pricing (Drugs) SS'!$A:$A,0))</f>
        <v>3.99</v>
      </c>
      <c r="H164" s="241">
        <f t="shared" si="20"/>
        <v>0</v>
      </c>
      <c r="I164" s="190">
        <f>VLOOKUP(F164,'Price Sheet'!$A:$C,3,FALSE)</f>
        <v>58.99</v>
      </c>
      <c r="J164" s="191"/>
      <c r="K164" s="192">
        <f t="shared" si="16"/>
        <v>58.99</v>
      </c>
      <c r="L164" s="192">
        <f t="shared" si="17"/>
        <v>0</v>
      </c>
      <c r="M164" s="193" t="str">
        <f t="shared" si="19"/>
        <v/>
      </c>
      <c r="N164" s="194" t="str">
        <f t="shared" si="18"/>
        <v/>
      </c>
      <c r="O164" s="124" t="str">
        <f t="shared" si="21"/>
        <v/>
      </c>
      <c r="P164" s="124" t="str">
        <f>INDEX('Pricing (Drugs) SS'!$C:$C,MATCH(F164,'Pricing (Drugs) SS'!$A:$A,0))</f>
        <v>ACTIVE</v>
      </c>
      <c r="Q164" s="124" t="str">
        <f>IF(AND($L$23="Extra DEA Req",S164="X"),"SAFE- CONTROLLED",INDEX('Pricing (Drugs) SS'!$G:$G,MATCH(F164,'Pricing (Drugs) SS'!$A:$A,0)))</f>
        <v>DRUG ROOM</v>
      </c>
      <c r="R164" s="195" t="str">
        <f>INDEX('Pricing (Drugs) SS'!$H:$H,MATCH(F164,'Pricing (Drugs) SS'!$A:$A,0))</f>
        <v>Not on List</v>
      </c>
      <c r="S164" s="195" t="str">
        <f>IF(COUNTIFS('Version and Lists'!$F:$F,F164,'Version and Lists'!$G:$G,$M$22)&gt;0,"X","")</f>
        <v/>
      </c>
    </row>
    <row r="165" spans="1:19" ht="18.75" x14ac:dyDescent="0.3">
      <c r="A165" s="185">
        <f>INDEX('Cart Formulary Calculator'!$A$12:$A$433,MATCH(F165,'Cart Formulary Calculator'!$F$12:$F$433,0))</f>
        <v>0</v>
      </c>
      <c r="B165" s="186" t="str">
        <f>INDEX('Pricing (Drugs) SS'!$B:$B,MATCH(F165,'Pricing (Drugs) SS'!$A:$A,0))</f>
        <v>VERAPAMIL HCI INJECTION, USP 10mg PER 4mL (2.5mg/mL) 4mL VIAL</v>
      </c>
      <c r="C165" s="187" t="str">
        <f>INDEX('Pricing (Drugs) SS'!$E:$E,MATCH(F165,'Pricing (Drugs) SS'!$A:$A,0))</f>
        <v>2.5mg/mL</v>
      </c>
      <c r="D165" s="188" t="str">
        <f>INDEX('Pricing (Drugs) SS'!$F:$F,MATCH(F165,'Pricing (Drugs) SS'!$A:$A,0))</f>
        <v>4mL</v>
      </c>
      <c r="E165" s="188" t="str">
        <f>INDEX('Pricing (Drugs) SS'!$D:$D,MATCH(F165,'Pricing (Drugs) SS'!$A:$A,0))</f>
        <v>55150-343-05</v>
      </c>
      <c r="F165" s="189">
        <v>1016230</v>
      </c>
      <c r="G165" s="241">
        <f>INDEX('Pricing (Drugs) SS'!$I:$I,MATCH(F165,'Pricing (Drugs) SS'!$A:$A,0))</f>
        <v>4.8</v>
      </c>
      <c r="H165" s="241">
        <f t="shared" si="20"/>
        <v>0</v>
      </c>
      <c r="I165" s="190">
        <f>VLOOKUP(F165,'Price Sheet'!$A:$C,3,FALSE)</f>
        <v>64.989999999999995</v>
      </c>
      <c r="J165" s="191"/>
      <c r="K165" s="192">
        <f t="shared" si="16"/>
        <v>64.989999999999995</v>
      </c>
      <c r="L165" s="192">
        <f t="shared" si="17"/>
        <v>0</v>
      </c>
      <c r="M165" s="193" t="str">
        <f t="shared" si="19"/>
        <v/>
      </c>
      <c r="N165" s="194" t="str">
        <f t="shared" si="18"/>
        <v/>
      </c>
      <c r="O165" s="124" t="str">
        <f t="shared" si="21"/>
        <v/>
      </c>
      <c r="P165" s="124" t="str">
        <f>INDEX('Pricing (Drugs) SS'!$C:$C,MATCH(F165,'Pricing (Drugs) SS'!$A:$A,0))</f>
        <v>ACTIVE</v>
      </c>
      <c r="Q165" s="124" t="str">
        <f>IF(AND($L$23="Extra DEA Req",S165="X"),"SAFE- CONTROLLED",INDEX('Pricing (Drugs) SS'!$G:$G,MATCH(F165,'Pricing (Drugs) SS'!$A:$A,0)))</f>
        <v>DRUG ROOM</v>
      </c>
      <c r="R165" s="195" t="str">
        <f>INDEX('Pricing (Drugs) SS'!$H:$H,MATCH(F165,'Pricing (Drugs) SS'!$A:$A,0))</f>
        <v>Not on List</v>
      </c>
      <c r="S165" s="195" t="str">
        <f>IF(COUNTIFS('Version and Lists'!$F:$F,F165,'Version and Lists'!$G:$G,$M$22)&gt;0,"X","")</f>
        <v/>
      </c>
    </row>
    <row r="166" spans="1:19" ht="18.75" x14ac:dyDescent="0.3">
      <c r="A166" s="185">
        <f>INDEX('Cart Formulary Calculator'!$A$12:$A$433,MATCH(F166,'Cart Formulary Calculator'!$F$12:$F$433,0))</f>
        <v>0</v>
      </c>
      <c r="B166" s="186" t="str">
        <f>INDEX('Pricing (Drugs) SS'!$B:$B,MATCH(F166,'Pricing (Drugs) SS'!$A:$A,0))</f>
        <v>VERAPAMIL HYDROCHLORIDE INJECTION, USP 10mg (2.5 mg/mL) 4mL ANSYR SYR</v>
      </c>
      <c r="C166" s="187" t="str">
        <f>INDEX('Pricing (Drugs) SS'!$E:$E,MATCH(F166,'Pricing (Drugs) SS'!$A:$A,0))</f>
        <v>10mg (2.5 mg/mL)</v>
      </c>
      <c r="D166" s="188" t="str">
        <f>INDEX('Pricing (Drugs) SS'!$F:$F,MATCH(F166,'Pricing (Drugs) SS'!$A:$A,0))</f>
        <v>4mL</v>
      </c>
      <c r="E166" s="188" t="str">
        <f>INDEX('Pricing (Drugs) SS'!$D:$D,MATCH(F166,'Pricing (Drugs) SS'!$A:$A,0))</f>
        <v>0409-9633-05</v>
      </c>
      <c r="F166" s="189">
        <v>1000720</v>
      </c>
      <c r="G166" s="241">
        <f>INDEX('Pricing (Drugs) SS'!$I:$I,MATCH(F166,'Pricing (Drugs) SS'!$A:$A,0))</f>
        <v>108.151</v>
      </c>
      <c r="H166" s="241">
        <f t="shared" si="20"/>
        <v>0</v>
      </c>
      <c r="I166" s="190">
        <f>VLOOKUP(F166,'Price Sheet'!$A:$C,3,FALSE)</f>
        <v>266.97000000000003</v>
      </c>
      <c r="J166" s="191"/>
      <c r="K166" s="192">
        <f t="shared" si="16"/>
        <v>266.97000000000003</v>
      </c>
      <c r="L166" s="192">
        <f t="shared" si="17"/>
        <v>0</v>
      </c>
      <c r="M166" s="193" t="str">
        <f t="shared" si="19"/>
        <v/>
      </c>
      <c r="N166" s="194" t="str">
        <f t="shared" si="18"/>
        <v/>
      </c>
      <c r="O166" s="124" t="str">
        <f t="shared" si="21"/>
        <v/>
      </c>
      <c r="P166" s="124" t="str">
        <f>INDEX('Pricing (Drugs) SS'!$C:$C,MATCH(F166,'Pricing (Drugs) SS'!$A:$A,0))</f>
        <v>ACTIVE</v>
      </c>
      <c r="Q166" s="124" t="str">
        <f>IF(AND($L$23="Extra DEA Req",S166="X"),"SAFE- CONTROLLED",INDEX('Pricing (Drugs) SS'!$G:$G,MATCH(F166,'Pricing (Drugs) SS'!$A:$A,0)))</f>
        <v>DRUG ROOM</v>
      </c>
      <c r="R166" s="195" t="str">
        <f>INDEX('Pricing (Drugs) SS'!$H:$H,MATCH(F166,'Pricing (Drugs) SS'!$A:$A,0))</f>
        <v>Not on List</v>
      </c>
      <c r="S166" s="195" t="str">
        <f>IF(COUNTIFS('Version and Lists'!$F:$F,F166,'Version and Lists'!$G:$G,$M$22)&gt;0,"X","")</f>
        <v/>
      </c>
    </row>
    <row r="167" spans="1:19" ht="18.75" x14ac:dyDescent="0.3">
      <c r="A167" s="185">
        <f>INDEX('Cart Formulary Calculator'!$A$12:$A$433,MATCH(F167,'Cart Formulary Calculator'!$F$12:$F$433,0))</f>
        <v>0</v>
      </c>
      <c r="B167" s="186" t="str">
        <f>INDEX('Pricing (Drugs) SS'!$B:$B,MATCH(F167,'Pricing (Drugs) SS'!$A:$A,0))</f>
        <v>STERILE WATER FOR INJECTION, USP 20mL VIAL</v>
      </c>
      <c r="C167" s="187">
        <f>INDEX('Pricing (Drugs) SS'!$E:$E,MATCH(F167,'Pricing (Drugs) SS'!$A:$A,0))</f>
        <v>0</v>
      </c>
      <c r="D167" s="188" t="str">
        <f>INDEX('Pricing (Drugs) SS'!$F:$F,MATCH(F167,'Pricing (Drugs) SS'!$A:$A,0))</f>
        <v>20mL</v>
      </c>
      <c r="E167" s="188" t="str">
        <f>INDEX('Pricing (Drugs) SS'!$D:$D,MATCH(F167,'Pricing (Drugs) SS'!$A:$A,0))</f>
        <v>0409-4887-20</v>
      </c>
      <c r="F167" s="189">
        <v>1012940</v>
      </c>
      <c r="G167" s="241">
        <f>INDEX('Pricing (Drugs) SS'!$I:$I,MATCH(F167,'Pricing (Drugs) SS'!$A:$A,0))</f>
        <v>5.93</v>
      </c>
      <c r="H167" s="241">
        <f t="shared" si="20"/>
        <v>0</v>
      </c>
      <c r="I167" s="190">
        <f>VLOOKUP(F167,'Price Sheet'!$A:$C,3,FALSE)</f>
        <v>11.99</v>
      </c>
      <c r="J167" s="191"/>
      <c r="K167" s="192">
        <f t="shared" si="16"/>
        <v>11.99</v>
      </c>
      <c r="L167" s="192">
        <f t="shared" si="17"/>
        <v>0</v>
      </c>
      <c r="M167" s="193" t="str">
        <f t="shared" si="19"/>
        <v/>
      </c>
      <c r="N167" s="194" t="str">
        <f t="shared" si="18"/>
        <v/>
      </c>
      <c r="O167" s="124" t="str">
        <f t="shared" si="21"/>
        <v/>
      </c>
      <c r="P167" s="124" t="str">
        <f>INDEX('Pricing (Drugs) SS'!$C:$C,MATCH(F167,'Pricing (Drugs) SS'!$A:$A,0))</f>
        <v>ACTIVE</v>
      </c>
      <c r="Q167" s="124" t="str">
        <f>IF(AND($L$23="Extra DEA Req",S167="X"),"SAFE- CONTROLLED",INDEX('Pricing (Drugs) SS'!$G:$G,MATCH(F167,'Pricing (Drugs) SS'!$A:$A,0)))</f>
        <v>DRUG ROOM</v>
      </c>
      <c r="R167" s="195" t="str">
        <f>INDEX('Pricing (Drugs) SS'!$H:$H,MATCH(F167,'Pricing (Drugs) SS'!$A:$A,0))</f>
        <v>Not on List</v>
      </c>
      <c r="S167" s="195" t="str">
        <f>IF(COUNTIFS('Version and Lists'!$F:$F,F167,'Version and Lists'!$G:$G,$M$22)&gt;0,"X","")</f>
        <v/>
      </c>
    </row>
    <row r="168" spans="1:19" ht="18.75" x14ac:dyDescent="0.3">
      <c r="A168" s="185">
        <f>INDEX('Cart Formulary Calculator'!$A$12:$A$433,MATCH(F168,'Cart Formulary Calculator'!$F$12:$F$433,0))</f>
        <v>0</v>
      </c>
      <c r="B168" s="186" t="str">
        <f>INDEX('Pricing (Drugs) SS'!$B:$B,MATCH(F168,'Pricing (Drugs) SS'!$A:$A,0))</f>
        <v>STERILE WATER FOR INJECTION, USP 50mL VIAL</v>
      </c>
      <c r="C168" s="187">
        <f>INDEX('Pricing (Drugs) SS'!$E:$E,MATCH(F168,'Pricing (Drugs) SS'!$A:$A,0))</f>
        <v>0</v>
      </c>
      <c r="D168" s="188" t="str">
        <f>INDEX('Pricing (Drugs) SS'!$F:$F,MATCH(F168,'Pricing (Drugs) SS'!$A:$A,0))</f>
        <v>50mL</v>
      </c>
      <c r="E168" s="188" t="str">
        <f>INDEX('Pricing (Drugs) SS'!$D:$D,MATCH(F168,'Pricing (Drugs) SS'!$A:$A,0))</f>
        <v>0409-4887-50</v>
      </c>
      <c r="F168" s="189">
        <v>1000680</v>
      </c>
      <c r="G168" s="241">
        <f>INDEX('Pricing (Drugs) SS'!$I:$I,MATCH(F168,'Pricing (Drugs) SS'!$A:$A,0))</f>
        <v>8.64</v>
      </c>
      <c r="H168" s="241">
        <f t="shared" si="20"/>
        <v>0</v>
      </c>
      <c r="I168" s="190">
        <f>VLOOKUP(F168,'Price Sheet'!$A:$C,3,FALSE)</f>
        <v>9.99</v>
      </c>
      <c r="J168" s="191"/>
      <c r="K168" s="192">
        <f t="shared" si="16"/>
        <v>9.99</v>
      </c>
      <c r="L168" s="192">
        <f t="shared" si="17"/>
        <v>0</v>
      </c>
      <c r="M168" s="193" t="str">
        <f t="shared" si="19"/>
        <v/>
      </c>
      <c r="N168" s="194" t="str">
        <f t="shared" si="18"/>
        <v/>
      </c>
      <c r="O168" s="124" t="str">
        <f t="shared" si="21"/>
        <v/>
      </c>
      <c r="P168" s="124" t="str">
        <f>INDEX('Pricing (Drugs) SS'!$C:$C,MATCH(F168,'Pricing (Drugs) SS'!$A:$A,0))</f>
        <v>ACTIVE</v>
      </c>
      <c r="Q168" s="124" t="str">
        <f>IF(AND($L$23="Extra DEA Req",S168="X"),"SAFE- CONTROLLED",INDEX('Pricing (Drugs) SS'!$G:$G,MATCH(F168,'Pricing (Drugs) SS'!$A:$A,0)))</f>
        <v>DRUG ROOM</v>
      </c>
      <c r="R168" s="195" t="str">
        <f>INDEX('Pricing (Drugs) SS'!$H:$H,MATCH(F168,'Pricing (Drugs) SS'!$A:$A,0))</f>
        <v>Not on List</v>
      </c>
      <c r="S168" s="195" t="str">
        <f>IF(COUNTIFS('Version and Lists'!$F:$F,F168,'Version and Lists'!$G:$G,$M$22)&gt;0,"X","")</f>
        <v/>
      </c>
    </row>
    <row r="169" spans="1:19" ht="18.75" x14ac:dyDescent="0.3">
      <c r="A169" s="185">
        <f>INDEX('Cart Formulary Calculator'!$A$12:$A$433,MATCH(F169,'Cart Formulary Calculator'!$F$12:$F$433,0))</f>
        <v>0</v>
      </c>
      <c r="B169" s="186" t="str">
        <f>INDEX('Pricing (Drugs) SS'!$B:$B,MATCH(F169,'Pricing (Drugs) SS'!$A:$A,0))</f>
        <v>STERILE WATER FOR INJECTION, USP 100mL VIAL</v>
      </c>
      <c r="C169" s="187">
        <f>INDEX('Pricing (Drugs) SS'!$E:$E,MATCH(F169,'Pricing (Drugs) SS'!$A:$A,0))</f>
        <v>0</v>
      </c>
      <c r="D169" s="188" t="str">
        <f>INDEX('Pricing (Drugs) SS'!$F:$F,MATCH(F169,'Pricing (Drugs) SS'!$A:$A,0))</f>
        <v>100mL</v>
      </c>
      <c r="E169" s="188" t="str">
        <f>INDEX('Pricing (Drugs) SS'!$D:$D,MATCH(F169,'Pricing (Drugs) SS'!$A:$A,0))</f>
        <v>0409-4887-99</v>
      </c>
      <c r="F169" s="189">
        <v>1000690</v>
      </c>
      <c r="G169" s="241">
        <f>INDEX('Pricing (Drugs) SS'!$I:$I,MATCH(F169,'Pricing (Drugs) SS'!$A:$A,0))</f>
        <v>10.032400000000001</v>
      </c>
      <c r="H169" s="241">
        <f t="shared" ref="H169" si="22">A169*G169</f>
        <v>0</v>
      </c>
      <c r="I169" s="190">
        <f>VLOOKUP(F169,'Price Sheet'!$A:$C,3,FALSE)</f>
        <v>12.99</v>
      </c>
      <c r="J169" s="191"/>
      <c r="K169" s="192">
        <f t="shared" ref="K169" si="23">J169+I169</f>
        <v>12.99</v>
      </c>
      <c r="L169" s="192">
        <f t="shared" ref="L169" si="24">IFERROR(K169*A169,"")</f>
        <v>0</v>
      </c>
      <c r="M169" s="193" t="str">
        <f t="shared" ref="M169" si="25">IF(AND(Q169&lt;&gt;"Drug Room",Q169&lt;&gt;"SAFE- CONTROLLED"),"C","")</f>
        <v/>
      </c>
      <c r="N169" s="194" t="str">
        <f t="shared" ref="N169" si="26">IF(R169&lt;&gt;"Not on List","X","")</f>
        <v/>
      </c>
      <c r="O169" s="124" t="str">
        <f t="shared" ref="O169" si="27">IF(Q169="Safe- Controlled","X","")</f>
        <v/>
      </c>
      <c r="P169" s="124" t="str">
        <f>INDEX('Pricing (Drugs) SS'!$C:$C,MATCH(F169,'Pricing (Drugs) SS'!$A:$A,0))</f>
        <v>ACTIVE</v>
      </c>
      <c r="Q169" s="124" t="str">
        <f>IF(AND($L$23="Extra DEA Req",S169="X"),"SAFE- CONTROLLED",INDEX('Pricing (Drugs) SS'!$G:$G,MATCH(F169,'Pricing (Drugs) SS'!$A:$A,0)))</f>
        <v>DRUG ROOM</v>
      </c>
      <c r="R169" s="195" t="str">
        <f>INDEX('Pricing (Drugs) SS'!$H:$H,MATCH(F169,'Pricing (Drugs) SS'!$A:$A,0))</f>
        <v>Not on List</v>
      </c>
      <c r="S169" s="195" t="str">
        <f>IF(COUNTIFS('Version and Lists'!$F:$F,F169,'Version and Lists'!$G:$G,$M$22)&gt;0,"X","")</f>
        <v/>
      </c>
    </row>
    <row r="170" spans="1:19" x14ac:dyDescent="0.25">
      <c r="A170" s="201"/>
      <c r="B170" s="201"/>
      <c r="C170" s="202"/>
      <c r="D170" s="201"/>
      <c r="E170" s="131"/>
      <c r="F170" s="131"/>
      <c r="G170" s="242"/>
      <c r="H170" s="242"/>
      <c r="L170" s="199"/>
      <c r="M170" s="200"/>
    </row>
    <row r="171" spans="1:19" x14ac:dyDescent="0.25">
      <c r="A171" s="201"/>
      <c r="B171" s="201"/>
      <c r="C171" s="202"/>
      <c r="D171" s="201"/>
      <c r="E171" s="131"/>
      <c r="F171" s="131"/>
      <c r="G171" s="242"/>
      <c r="H171" s="242"/>
      <c r="L171" s="199"/>
      <c r="M171" s="200"/>
    </row>
    <row r="172" spans="1:19" x14ac:dyDescent="0.25">
      <c r="A172" s="201"/>
      <c r="B172" s="201"/>
      <c r="C172" s="202"/>
      <c r="D172" s="201"/>
      <c r="E172" s="131"/>
      <c r="F172" s="131"/>
      <c r="G172" s="242"/>
      <c r="H172" s="242"/>
      <c r="L172" s="199"/>
      <c r="M172" s="200"/>
    </row>
    <row r="173" spans="1:19" x14ac:dyDescent="0.25">
      <c r="A173" s="201"/>
      <c r="B173" s="201"/>
      <c r="C173" s="202"/>
      <c r="D173" s="201"/>
      <c r="E173" s="131"/>
      <c r="F173" s="131"/>
      <c r="G173" s="242"/>
      <c r="H173" s="242"/>
      <c r="L173" s="199"/>
      <c r="M173" s="200"/>
    </row>
    <row r="174" spans="1:19" x14ac:dyDescent="0.25">
      <c r="A174" s="201"/>
      <c r="B174" s="201"/>
      <c r="C174" s="202"/>
      <c r="D174" s="201"/>
      <c r="E174" s="131"/>
      <c r="F174" s="131"/>
      <c r="G174" s="242"/>
      <c r="H174" s="242"/>
      <c r="L174" s="199"/>
      <c r="M174" s="200"/>
    </row>
    <row r="175" spans="1:19" x14ac:dyDescent="0.25">
      <c r="A175" s="201"/>
      <c r="B175" s="201"/>
      <c r="C175" s="202"/>
      <c r="D175" s="201"/>
      <c r="E175" s="131"/>
      <c r="F175" s="131"/>
      <c r="G175" s="242"/>
      <c r="H175" s="242"/>
      <c r="L175" s="199"/>
      <c r="M175" s="200"/>
    </row>
    <row r="176" spans="1:19" x14ac:dyDescent="0.25">
      <c r="A176" s="201"/>
      <c r="B176" s="201"/>
      <c r="C176" s="202"/>
      <c r="D176" s="201"/>
      <c r="E176" s="131"/>
      <c r="F176" s="131"/>
      <c r="G176" s="242"/>
      <c r="H176" s="242"/>
      <c r="L176" s="199"/>
      <c r="M176" s="200"/>
    </row>
    <row r="177" spans="1:8" x14ac:dyDescent="0.25">
      <c r="A177" s="201"/>
      <c r="B177" s="201"/>
      <c r="C177" s="202"/>
      <c r="D177" s="201"/>
      <c r="E177" s="131"/>
      <c r="F177" s="131"/>
      <c r="G177" s="242"/>
      <c r="H177" s="242"/>
    </row>
    <row r="178" spans="1:8" x14ac:dyDescent="0.25">
      <c r="A178" s="201"/>
      <c r="B178" s="201"/>
      <c r="C178" s="202"/>
      <c r="D178" s="201"/>
      <c r="E178" s="131"/>
      <c r="F178" s="131"/>
      <c r="G178" s="242"/>
      <c r="H178" s="242"/>
    </row>
    <row r="179" spans="1:8" x14ac:dyDescent="0.25">
      <c r="A179" s="201"/>
      <c r="B179" s="201"/>
      <c r="C179" s="202"/>
      <c r="D179" s="201"/>
      <c r="E179" s="131"/>
      <c r="F179" s="131"/>
      <c r="G179" s="242"/>
      <c r="H179" s="242"/>
    </row>
  </sheetData>
  <sheetProtection autoFilter="0"/>
  <autoFilter ref="A33:F33" xr:uid="{43762E61-31EC-4555-867A-47D5BEA476F8}">
    <sortState xmlns:xlrd2="http://schemas.microsoft.com/office/spreadsheetml/2017/richdata2" ref="A34:F118">
      <sortCondition ref="B33"/>
    </sortState>
  </autoFilter>
  <sortState xmlns:xlrd2="http://schemas.microsoft.com/office/spreadsheetml/2017/richdata2" ref="A33:P99">
    <sortCondition ref="B33:B99"/>
  </sortState>
  <mergeCells count="36">
    <mergeCell ref="L23:M23"/>
    <mergeCell ref="C11:D11"/>
    <mergeCell ref="E11:F11"/>
    <mergeCell ref="E12:F12"/>
    <mergeCell ref="A6:K6"/>
    <mergeCell ref="E8:F8"/>
    <mergeCell ref="C9:D9"/>
    <mergeCell ref="E9:F9"/>
    <mergeCell ref="C10:D10"/>
    <mergeCell ref="E10:F10"/>
    <mergeCell ref="E13:F13"/>
    <mergeCell ref="E14:F14"/>
    <mergeCell ref="E15:F15"/>
    <mergeCell ref="C17:D17"/>
    <mergeCell ref="E17:F17"/>
    <mergeCell ref="C16:D16"/>
    <mergeCell ref="A1:K1"/>
    <mergeCell ref="A2:K2"/>
    <mergeCell ref="A3:K3"/>
    <mergeCell ref="A4:K4"/>
    <mergeCell ref="A5:K5"/>
    <mergeCell ref="E16:F16"/>
    <mergeCell ref="A26:F26"/>
    <mergeCell ref="A32:F32"/>
    <mergeCell ref="C18:D18"/>
    <mergeCell ref="E18:F18"/>
    <mergeCell ref="C19:D19"/>
    <mergeCell ref="E19:F19"/>
    <mergeCell ref="A24:F24"/>
    <mergeCell ref="C20:D20"/>
    <mergeCell ref="E20:F20"/>
    <mergeCell ref="C21:D21"/>
    <mergeCell ref="E21:F21"/>
    <mergeCell ref="A22:F22"/>
    <mergeCell ref="A23:F23"/>
    <mergeCell ref="A25:D25"/>
  </mergeCells>
  <conditionalFormatting sqref="A34:F169">
    <cfRule type="expression" dxfId="4" priority="1">
      <formula>$O34="X"</formula>
    </cfRule>
  </conditionalFormatting>
  <conditionalFormatting sqref="A34:F4965">
    <cfRule type="expression" dxfId="3" priority="3">
      <formula>$M34="C"</formula>
    </cfRule>
  </conditionalFormatting>
  <conditionalFormatting sqref="F170:H179 F1:H21 G25 F22:F24 F27:H27 F29:H31">
    <cfRule type="duplicateValues" dxfId="2" priority="75"/>
  </conditionalFormatting>
  <dataValidations disablePrompts="1" count="1">
    <dataValidation allowBlank="1" showInputMessage="1" showErrorMessage="1" promptTitle="NEW OR EXISTING FACILITY?" prompt="Please specify" sqref="B16" xr:uid="{EF908C4C-B887-481A-8B43-ADE2FD7E60F6}"/>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7D6DA758E1CC47A8AB3107D0B88C14" ma:contentTypeVersion="3" ma:contentTypeDescription="Create a new document." ma:contentTypeScope="" ma:versionID="76502b78fdfb7709f41960dd4965d814">
  <xsd:schema xmlns:xsd="http://www.w3.org/2001/XMLSchema" xmlns:xs="http://www.w3.org/2001/XMLSchema" xmlns:p="http://schemas.microsoft.com/office/2006/metadata/properties" xmlns:ns2="e35f63be-be5c-4304-9c79-db1d23d12749" targetNamespace="http://schemas.microsoft.com/office/2006/metadata/properties" ma:root="true" ma:fieldsID="5001d45d83c75dfb0900bed28fdff18a" ns2:_="">
    <xsd:import namespace="e35f63be-be5c-4304-9c79-db1d23d1274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f63be-be5c-4304-9c79-db1d23d127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FF2366-3A74-4BEA-A5BD-A5CD9E3CB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f63be-be5c-4304-9c79-db1d23d12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770D08-5F90-4788-A967-1C711FA25298}">
  <ds:schemaRefs>
    <ds:schemaRef ds:uri="http://schemas.microsoft.com/office/2006/metadata/properties"/>
    <ds:schemaRef ds:uri="http://www.w3.org/XML/1998/namespace"/>
    <ds:schemaRef ds:uri="http://purl.org/dc/elements/1.1/"/>
    <ds:schemaRef ds:uri="http://purl.org/dc/dcmitype/"/>
    <ds:schemaRef ds:uri="76ff413c-ccff-4f7c-ae39-c663af7f1f95"/>
    <ds:schemaRef ds:uri="http://schemas.microsoft.com/office/2006/documentManagement/types"/>
    <ds:schemaRef ds:uri="e36d682d-7697-4499-8a52-f2e1f280e246"/>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5E619161-E677-40CC-84D0-B7A2E675E7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Title Page</vt:lpstr>
      <vt:lpstr>McKesson Quote &amp; Pricing </vt:lpstr>
      <vt:lpstr>McKesson Formulary Calculator</vt:lpstr>
      <vt:lpstr>Tiered Cart Pricing Formulas</vt:lpstr>
      <vt:lpstr>Tiered Pricing Chart</vt:lpstr>
      <vt:lpstr>Quote and Pricing Summary</vt:lpstr>
      <vt:lpstr>Henry Schein Quote &amp; Pricing</vt:lpstr>
      <vt:lpstr>Cart Formulary Calculator</vt:lpstr>
      <vt:lpstr>Standard Cart Pricing Formulas</vt:lpstr>
      <vt:lpstr>Pricing (Drugs) SS</vt:lpstr>
      <vt:lpstr>Price Sheet</vt:lpstr>
      <vt:lpstr>Version and Lists</vt:lpstr>
      <vt:lpstr>'Cart Formulary Calculator'!Print_Area</vt:lpstr>
      <vt:lpstr>'McKesson Formulary Calculator'!Print_Area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Beamer</dc:creator>
  <cp:lastModifiedBy>Sophie Pen</cp:lastModifiedBy>
  <cp:lastPrinted>2025-07-16T14:12:49Z</cp:lastPrinted>
  <dcterms:created xsi:type="dcterms:W3CDTF">2018-09-25T22:00:37Z</dcterms:created>
  <dcterms:modified xsi:type="dcterms:W3CDTF">2026-07-17T20:29:03Z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0x010100117D6DA758E1CC47A8AB3107D0B88C14</vt:lpwstr>
  </property>
</Properties>
</file>